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4355" windowHeight="7185" activeTab="12"/>
  </bookViews>
  <sheets>
    <sheet name="Раздел1" sheetId="1" r:id="rId1"/>
    <sheet name="Раздел2" sheetId="2" r:id="rId2"/>
    <sheet name="ЗП МЗ" sheetId="3" r:id="rId3"/>
    <sheet name="ЗП ИЦ" sheetId="4" r:id="rId4"/>
    <sheet name="ПВ МЗ" sheetId="5" r:id="rId5"/>
    <sheet name="ПВ ИЦ" sheetId="6" r:id="rId6"/>
    <sheet name="НЧ МЗ" sheetId="7" r:id="rId7"/>
    <sheet name="НЧ ИЦ" sheetId="8" r:id="rId8"/>
    <sheet name="290 МЗ" sheetId="9" r:id="rId9"/>
    <sheet name="244,247 МЗ" sheetId="10" r:id="rId10"/>
    <sheet name="244 МЗ (2)" sheetId="11" r:id="rId11"/>
    <sheet name="244 МЗ (3)" sheetId="12" r:id="rId12"/>
    <sheet name="244 ИЦ" sheetId="13" r:id="rId13"/>
  </sheets>
  <externalReferences>
    <externalReference r:id="rId16"/>
  </externalReferences>
  <definedNames>
    <definedName name="_xlnm.Print_Titles" localSheetId="0">'Раздел1'!$20:$23</definedName>
    <definedName name="_xlnm.Print_Titles" localSheetId="1">'Раздел2'!$3:$6</definedName>
    <definedName name="_xlnm.Print_Area" localSheetId="12">'244 ИЦ'!$A$1:$I$64</definedName>
    <definedName name="_xlnm.Print_Area" localSheetId="10">'244 МЗ (2)'!$A$1:$H$48</definedName>
    <definedName name="_xlnm.Print_Area" localSheetId="7">'НЧ ИЦ'!$A$1:$G$24</definedName>
    <definedName name="_xlnm.Print_Area" localSheetId="6">'НЧ МЗ'!$A$1:$G$23</definedName>
    <definedName name="_xlnm.Print_Area" localSheetId="5">'ПВ ИЦ'!$A$1:$H$31</definedName>
    <definedName name="_xlnm.Print_Area" localSheetId="4">'ПВ МЗ'!$A$1:$G$57</definedName>
    <definedName name="_xlnm.Print_Area" localSheetId="1">'Раздел2'!$A$1:$BY$67</definedName>
  </definedNames>
  <calcPr fullCalcOnLoad="1" refMode="R1C1"/>
</workbook>
</file>

<file path=xl/sharedStrings.xml><?xml version="1.0" encoding="utf-8"?>
<sst xmlns="http://schemas.openxmlformats.org/spreadsheetml/2006/main" count="945" uniqueCount="573">
  <si>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</si>
  <si>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</si>
  <si>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</si>
  <si>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</si>
  <si>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</si>
  <si>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</si>
  <si>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</si>
  <si>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</si>
  <si>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</si>
  <si>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</si>
  <si>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</si>
  <si>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</si>
  <si>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</si>
  <si>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</si>
  <si>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</si>
  <si>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</si>
  <si>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</si>
  <si>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</si>
  <si>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</si>
  <si>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</si>
  <si>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</si>
  <si>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</si>
  <si>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</si>
  <si>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</si>
  <si>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</si>
  <si>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</si>
  <si>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</si>
  <si>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</si>
  <si>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</si>
  <si>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</si>
  <si>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</si>
  <si>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</si>
  <si>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</si>
  <si>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</si>
  <si>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</si>
  <si>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</si>
  <si>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</si>
  <si>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</si>
  <si>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</si>
  <si>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</si>
  <si>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</si>
  <si>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</si>
  <si>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</si>
  <si>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</si>
  <si>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</si>
  <si>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</si>
  <si>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</si>
  <si>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</si>
  <si>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</si>
  <si>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</si>
  <si>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</si>
  <si>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</si>
  <si>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</si>
  <si>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</si>
  <si>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</si>
  <si>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</si>
  <si>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</si>
  <si>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</si>
  <si>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</si>
  <si>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</si>
  <si>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</si>
  <si>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</si>
  <si>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</si>
  <si>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</si>
  <si>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</si>
  <si>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</si>
  <si>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</si>
  <si>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</si>
  <si>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</si>
  <si>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</si>
  <si>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</si>
  <si>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</si>
  <si>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</si>
  <si>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</si>
  <si>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</si>
  <si>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</si>
  <si>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</si>
  <si>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</si>
  <si>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</si>
  <si>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</si>
  <si>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</si>
  <si>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</si>
  <si>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</si>
  <si>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</si>
  <si>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</si>
  <si>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</si>
  <si>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</si>
  <si>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</si>
  <si>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</si>
  <si>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</si>
  <si>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</si>
  <si>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</si>
  <si>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</si>
  <si>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</si>
  <si>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</si>
  <si>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</si>
  <si>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</si>
  <si>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</si>
  <si>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</si>
  <si>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</si>
  <si>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</si>
  <si>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</si>
  <si>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</si>
  <si>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</si>
  <si>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</si>
  <si>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</si>
  <si>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</si>
  <si>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</si>
  <si>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</si>
  <si>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</si>
  <si>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</si>
  <si>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</si>
  <si>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</si>
  <si>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</si>
  <si>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</si>
  <si>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</si>
  <si>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</si>
  <si>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</si>
  <si>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</si>
  <si>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</si>
  <si>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</si>
  <si>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</si>
  <si>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</si>
  <si>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</si>
  <si>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</si>
  <si>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</si>
  <si>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</si>
  <si>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</si>
  <si>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</si>
  <si>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</si>
  <si>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</si>
  <si>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</si>
  <si>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</si>
  <si>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</si>
  <si>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</si>
  <si>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</si>
  <si>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</si>
  <si>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</si>
  <si>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</si>
  <si>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</si>
  <si>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</si>
  <si>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</si>
  <si>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</si>
  <si>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</si>
  <si>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</si>
  <si>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</si>
  <si>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</si>
  <si>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</si>
  <si>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</si>
  <si>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</si>
  <si>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</si>
  <si>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</si>
  <si>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</si>
  <si>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</si>
  <si>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</si>
  <si>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</si>
  <si>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</si>
  <si>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</si>
  <si>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</si>
  <si>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</si>
  <si>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</si>
  <si>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</si>
  <si>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</si>
  <si>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</si>
  <si>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</si>
  <si>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</si>
  <si>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</si>
  <si>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</si>
  <si>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</si>
  <si>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</si>
  <si>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</si>
  <si>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</si>
  <si>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</si>
  <si>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</si>
  <si>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</si>
  <si>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</si>
  <si>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</si>
  <si>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</si>
  <si>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</si>
  <si>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</si>
  <si>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</si>
  <si>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</si>
  <si>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</si>
  <si>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</si>
  <si>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</si>
  <si>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</si>
  <si>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</si>
  <si>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</si>
  <si>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</si>
  <si>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</si>
  <si>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</si>
  <si>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</si>
  <si>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</si>
  <si>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</si>
  <si>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</si>
  <si>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</si>
  <si>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</si>
  <si>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</si>
  <si>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</si>
  <si>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</si>
  <si>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</si>
  <si>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</si>
  <si>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</si>
  <si>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</si>
  <si>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</si>
  <si>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</si>
  <si>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</si>
  <si>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</si>
  <si>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</si>
  <si>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</si>
  <si>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</si>
  <si>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</si>
  <si>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</si>
  <si>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</si>
  <si>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</si>
  <si>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</si>
  <si>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</si>
  <si>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</si>
  <si>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</si>
  <si>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</si>
  <si>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</si>
  <si>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</si>
  <si>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</si>
  <si>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</si>
  <si>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</si>
  <si>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</si>
  <si>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</si>
  <si>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</si>
  <si>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</si>
  <si>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</si>
  <si>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</si>
  <si>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</si>
  <si>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</si>
  <si>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</si>
  <si>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</si>
  <si>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</si>
  <si>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</si>
  <si>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</si>
  <si>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</si>
  <si>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</si>
  <si>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</si>
  <si>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</si>
  <si>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</si>
  <si>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</si>
  <si>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</si>
  <si>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</si>
  <si>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</si>
  <si>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</si>
  <si>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</si>
  <si>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</si>
  <si>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</si>
  <si>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</si>
  <si>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</si>
  <si>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</si>
  <si>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</si>
  <si>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</si>
  <si>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</si>
  <si>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</si>
  <si>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</si>
  <si>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</si>
  <si>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</si>
  <si>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</si>
  <si>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</si>
  <si>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</si>
  <si>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</si>
  <si>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</si>
  <si>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</si>
  <si>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</si>
  <si>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</si>
  <si>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</si>
  <si>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</si>
  <si>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</si>
  <si>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</si>
  <si>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</si>
  <si>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</si>
  <si>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</si>
  <si>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</si>
  <si>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</si>
  <si>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</si>
  <si>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</si>
  <si>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</si>
  <si>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</si>
  <si>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</si>
  <si>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</si>
  <si>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</si>
  <si>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</si>
  <si>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</si>
  <si>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</si>
  <si>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</si>
  <si>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</si>
  <si>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Директор</t>
  </si>
  <si>
    <t>МБУДО "Социально-педагогический центр"</t>
  </si>
  <si>
    <t>(наименование учреждения)</t>
  </si>
  <si>
    <t>22</t>
  </si>
  <si>
    <t>23</t>
  </si>
  <si>
    <t>24</t>
  </si>
  <si>
    <t>Управление по делам молодежи и связям с общественностью мэрии города Магадана</t>
  </si>
  <si>
    <t>муниципальное бюджетное учреждение дополнительного образования "Социально-педагогический центр"</t>
  </si>
  <si>
    <t>44300155</t>
  </si>
  <si>
    <t>817</t>
  </si>
  <si>
    <t>44Ш3033</t>
  </si>
  <si>
    <t>4909075699</t>
  </si>
  <si>
    <t>490901001</t>
  </si>
  <si>
    <t>Расчеты (обоснования) к плану финансово-хозяйственной деятельности муниципального учреждения</t>
  </si>
  <si>
    <t>Расчеты (обоснования) выплат персоналу (строка 2110)</t>
  </si>
  <si>
    <t>Код вида расходов</t>
  </si>
  <si>
    <r>
      <t xml:space="preserve">Источник финансового обеспечения
</t>
    </r>
    <r>
      <rPr>
        <u val="single"/>
        <sz val="11"/>
        <color indexed="8"/>
        <rFont val="Times New Roman"/>
        <family val="1"/>
      </rPr>
      <t>субсидии на финансовое обеспечение выполнения муниципального задания на оказание муниципальных услуг (выполнение работ)</t>
    </r>
  </si>
  <si>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</si>
  <si>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</si>
  <si>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</si>
  <si>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</si>
  <si>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</si>
  <si>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 %</t>
  </si>
  <si>
    <t>Районный коэффициент</t>
  </si>
  <si>
    <t>Фонд оплаты труда в год, руб. (гр.3 х( гр. 4 *гр.8/100+гр.9)  х 12)</t>
  </si>
  <si>
    <t>Всего</t>
  </si>
  <si>
    <t>по должностному окладу</t>
  </si>
  <si>
    <t>по выплатам компенсационного характера</t>
  </si>
  <si>
    <t>по выплатам стимулирующего характера</t>
  </si>
  <si>
    <t>Уборщик служебных помещений</t>
  </si>
  <si>
    <t xml:space="preserve">Дворник </t>
  </si>
  <si>
    <t>Гардеробщик</t>
  </si>
  <si>
    <t>Сторож</t>
  </si>
  <si>
    <t>Рабочий по комплексному обслуживанию и ремонту зданий</t>
  </si>
  <si>
    <t>Техник-программист</t>
  </si>
  <si>
    <t>Начальник хозяйственного отдела</t>
  </si>
  <si>
    <t>Документовед 2 категории</t>
  </si>
  <si>
    <t>Юрисконсульт 2 категории</t>
  </si>
  <si>
    <t>Бухгалтер 2 категории</t>
  </si>
  <si>
    <t>Медицинская сестра</t>
  </si>
  <si>
    <t>Музыкальный руководитель</t>
  </si>
  <si>
    <t>Социальный педагог</t>
  </si>
  <si>
    <t>Педагог дополнительного образования</t>
  </si>
  <si>
    <t>Педагог-организатор</t>
  </si>
  <si>
    <t>Методист</t>
  </si>
  <si>
    <t>Педагог-психолог</t>
  </si>
  <si>
    <t>Заместитель директора по учебно-воспитательной работе</t>
  </si>
  <si>
    <t>Главный бухгалтер</t>
  </si>
  <si>
    <t>Всего:</t>
  </si>
  <si>
    <t>ОЗП</t>
  </si>
  <si>
    <t>УЗП</t>
  </si>
  <si>
    <t>Расчеты (обоснования) выплат персоналу (строка 2120)</t>
  </si>
  <si>
    <r>
      <t xml:space="preserve">Источник финансового обеспечения
</t>
    </r>
    <r>
      <rPr>
        <u val="single"/>
        <sz val="11"/>
        <color indexed="8"/>
        <rFont val="Times New Roman"/>
        <family val="1"/>
      </rPr>
      <t xml:space="preserve">субсидии на финансовое обеспечение выполнения муниципального задания на оказание </t>
    </r>
  </si>
  <si>
    <t>муниципальных услуг (выполнение работ)</t>
  </si>
  <si>
    <t>2.1.1.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</si>
  <si>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</si>
  <si>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</si>
  <si>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</si>
  <si>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</si>
  <si>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 х гр.4 х гр.5)</t>
  </si>
  <si>
    <t>Компенсация расходов по проезду в общественном транспорте (служебные поездки)</t>
  </si>
  <si>
    <t>Итого:</t>
  </si>
  <si>
    <t>2.1.2.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</si>
  <si>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</si>
  <si>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</si>
  <si>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</si>
  <si>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Выплата сотруднику, находящемуся в отпуске по уходу за ребенком до достижения им возраста 3-х лет</t>
  </si>
  <si>
    <t xml:space="preserve">        2.1.3.Расчеты (обоснования)  выплаты персоналу компенсации оплаты медицинского осмотра</t>
  </si>
  <si>
    <t>Средний размер выплаты на одного сотрудника, руб.</t>
  </si>
  <si>
    <t>Количество-работников, чел.</t>
  </si>
  <si>
    <t>Итого,  руб.</t>
  </si>
  <si>
    <t xml:space="preserve">Компенсация расходов на оплату обязательного медицинского осмотра </t>
  </si>
  <si>
    <t>2.1.4.Расчеты (обоснования)  выплаты компенсации расходов по проезду к месту использования отпуска и обратно</t>
  </si>
  <si>
    <t>Город</t>
  </si>
  <si>
    <t>Кол-во сотрудников, чел.</t>
  </si>
  <si>
    <t>Кол-во иждивенцев, чел.</t>
  </si>
  <si>
    <t>Итого кол-во человек с правом на проезд</t>
  </si>
  <si>
    <t> Цена проезда в обе стороны, руб. </t>
  </si>
  <si>
    <t>Итого, руб.</t>
  </si>
  <si>
    <t>5=3+4</t>
  </si>
  <si>
    <t>Ростов-на-Дону</t>
  </si>
  <si>
    <t>Санкт-Петербург</t>
  </si>
  <si>
    <t>Краснодар</t>
  </si>
  <si>
    <t>Москва</t>
  </si>
  <si>
    <t>Сочи</t>
  </si>
  <si>
    <t>Хабаровск</t>
  </si>
  <si>
    <t xml:space="preserve">        2.1.5.Расчеты (обоснования)  выплаты персоналу компенсации расходов на оплату курсов  повышения квалификации</t>
  </si>
  <si>
    <t>Компенсация расходов на оплату обучения на курсах повышения квалификации</t>
  </si>
  <si>
    <t>3.Расчеты (обоснования) расходов на социальные и иные выплаты населению                                                                        (строка 2120)</t>
  </si>
  <si>
    <t>Код видов расходов 320</t>
  </si>
  <si>
    <t xml:space="preserve">        3.1. Расчет (обоснование) расходов, связанных с проездом и провозом багажа при </t>
  </si>
  <si>
    <t>переезде из районов Крайнего Севера к новому месту жительства  в другую местность</t>
  </si>
  <si>
    <t>бывшим сотрудникам</t>
  </si>
  <si>
    <t>Компенсация расходов на оплату проезда и провозу багажа к новому месту жительства бывшему сотруднику</t>
  </si>
  <si>
    <t>Кредиторская задолженность  на 01.01.2022</t>
  </si>
  <si>
    <t>4.1.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</si>
  <si>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Страховые взносы в Пенсионный фонд РФ, всего</t>
  </si>
  <si>
    <t>1.1</t>
  </si>
  <si>
    <t xml:space="preserve">     в том числе:
          по ставке 22,0%</t>
  </si>
  <si>
    <t>1.2</t>
  </si>
  <si>
    <t xml:space="preserve">          по ставке 10%</t>
  </si>
  <si>
    <t>1.3</t>
  </si>
  <si>
    <t xml:space="preserve">          с применением пониженных тарифов взносов в Пенсионный фонд РФ для отдельных категорий плательщиков</t>
  </si>
  <si>
    <t>2</t>
  </si>
  <si>
    <t>Страховые взносы в Фонд социального страхования РФ, всего</t>
  </si>
  <si>
    <t>2.1</t>
  </si>
  <si>
    <t xml:space="preserve">     в том числе: 
на обязательное социальное страхование на случай временной нетрудоспособности и в связи с материнством по ставке 2,9%</t>
  </si>
  <si>
    <t>2.2</t>
  </si>
  <si>
    <t xml:space="preserve">     с применением ставки взносов в ФСС РФ по ставке 0,0%</t>
  </si>
  <si>
    <t>2.3</t>
  </si>
  <si>
    <t xml:space="preserve">     обязательное социальное страхование от несчастных случаев на
     производстве и профессиональных заболеваний по ставке 0,2%</t>
  </si>
  <si>
    <t>2.4</t>
  </si>
  <si>
    <t xml:space="preserve">     обязательное социальное страхование от несчастных случаев на
    производстве и профессиональных заболеваний по ставке 0,__%*</t>
  </si>
  <si>
    <t>2.5</t>
  </si>
  <si>
    <t xml:space="preserve">     обязательное социальное страхование от несчастных случаев на
     производстве и профессиональных заболеваний по ставке 0,_%*</t>
  </si>
  <si>
    <t>3</t>
  </si>
  <si>
    <t>Страховые взносы в ФОМС, всего (по ставке 5,1%)</t>
  </si>
  <si>
    <t>Итого</t>
  </si>
  <si>
    <t>УНЧ</t>
  </si>
  <si>
    <t>ОНЧ</t>
  </si>
  <si>
    <t>Кредиторская задолженность на 01.01.2022</t>
  </si>
  <si>
    <t>5. Расчет (обоснование) расходов на уплату налогов, сборов и иных платежей (стр 2310)</t>
  </si>
  <si>
    <t xml:space="preserve">5.1. Расчет (обоснование) расходов на уплату налога на имущество и земельного налога </t>
  </si>
  <si>
    <r>
      <t xml:space="preserve">Код вида расходов </t>
    </r>
    <r>
      <rPr>
        <b/>
        <u val="single"/>
        <sz val="11"/>
        <color indexed="8"/>
        <rFont val="Times New Roman"/>
        <family val="1"/>
      </rPr>
      <t>851</t>
    </r>
  </si>
  <si>
    <t>Налоговая база, руб.</t>
  </si>
  <si>
    <t>Ставка налога, %</t>
  </si>
  <si>
    <t>Сумма исчисленного налога, подлежащего уплате, руб. (гр.3 х гр.4/100)</t>
  </si>
  <si>
    <t>Налог на имущество организаций</t>
  </si>
  <si>
    <t>5.2. Расчет (обоснование) расходов уплату иных платежей</t>
  </si>
  <si>
    <r>
      <t xml:space="preserve">Код видов расходов          </t>
    </r>
    <r>
      <rPr>
        <b/>
        <u val="single"/>
        <sz val="11"/>
        <color indexed="8"/>
        <rFont val="Times New Roman"/>
        <family val="1"/>
      </rPr>
      <t xml:space="preserve"> 853</t>
    </r>
  </si>
  <si>
    <t>Пени за несвоевременную уплату страховых взносов</t>
  </si>
  <si>
    <t xml:space="preserve"> (стр 2330)</t>
  </si>
  <si>
    <t>6.1.Расчет (обоснования) расходов на закупку товаров, работ, услуг (стр 2640)</t>
  </si>
  <si>
    <r>
      <t xml:space="preserve">Код вида расходов          </t>
    </r>
    <r>
      <rPr>
        <b/>
        <u val="single"/>
        <sz val="11"/>
        <color indexed="8"/>
        <rFont val="Times New Roman"/>
        <family val="1"/>
      </rPr>
      <t>244</t>
    </r>
  </si>
  <si>
    <t>6.1.1. Расчет (обоснование) расходов на оплату услуг связи</t>
  </si>
  <si>
    <t>Количество номеров</t>
  </si>
  <si>
    <t>Количество платежей в год</t>
  </si>
  <si>
    <t>Стоимость за единицу, руб.</t>
  </si>
  <si>
    <t>Сумма, руб. (гр.3 х гр.4 х гр5)</t>
  </si>
  <si>
    <t>Абонентская плата (местные телефонные соединения)</t>
  </si>
  <si>
    <t>Оплата услуг сотовой связи (интеренет)</t>
  </si>
  <si>
    <t>Услуги телематической связи (интернет)</t>
  </si>
  <si>
    <t>Электронный документооборот (сдача отчетов)</t>
  </si>
  <si>
    <t>Оплата отправки почтовой корреспонденции</t>
  </si>
  <si>
    <t>6.2. Расчет (обоснование) расходов на оплату транспортных услуг</t>
  </si>
  <si>
    <t>Количество услуг перевозки</t>
  </si>
  <si>
    <t>Цена услуги перевозки, руб.</t>
  </si>
  <si>
    <t>Сумма, руб. (гр.3 х гр.4)</t>
  </si>
  <si>
    <t>6.1.2. Расчет (обоснование) расходов на оплату коммунальных услуг</t>
  </si>
  <si>
    <t>Единица измерения</t>
  </si>
  <si>
    <t>Размер потребления ресурсов</t>
  </si>
  <si>
    <t>Тариф (с учетом НДС), руб.</t>
  </si>
  <si>
    <t>Индексация, %</t>
  </si>
  <si>
    <t>Сумма, руб. (гр.4 х гр5)</t>
  </si>
  <si>
    <t>Горячее водоснабжение</t>
  </si>
  <si>
    <t>Гкал</t>
  </si>
  <si>
    <t>куб.м.</t>
  </si>
  <si>
    <t>Холодное водоснабжение</t>
  </si>
  <si>
    <t>Водоотведение</t>
  </si>
  <si>
    <t>Вывоз ТКО</t>
  </si>
  <si>
    <t>6.4. Расчет (обоснование) расходов на оплату аренды имущества</t>
  </si>
  <si>
    <t>Количество</t>
  </si>
  <si>
    <t>Ставка арендной платы</t>
  </si>
  <si>
    <t>Стоимость с учетом НДС, руб.</t>
  </si>
  <si>
    <r>
      <rPr>
        <b/>
        <sz val="11"/>
        <color indexed="8"/>
        <rFont val="Times New Roman"/>
        <family val="1"/>
      </rPr>
      <t xml:space="preserve">Код вида расходов         </t>
    </r>
    <r>
      <rPr>
        <b/>
        <u val="single"/>
        <sz val="11"/>
        <color indexed="8"/>
        <rFont val="Times New Roman"/>
        <family val="1"/>
      </rPr>
      <t xml:space="preserve"> 247</t>
    </r>
  </si>
  <si>
    <t>Электроэнергия</t>
  </si>
  <si>
    <t>кВт.ч</t>
  </si>
  <si>
    <t>Теплоэнергия</t>
  </si>
  <si>
    <t>Кредиторская задолженность на 01.01.2022 г.</t>
  </si>
  <si>
    <t>6.1. Расчет (обоснования) расходов на закупку товаров, работ, услуг (стр 2640)</t>
  </si>
  <si>
    <t xml:space="preserve"> 6.1.3. Расчет (обоснование) расходов на оплату работ, услуг по содержанию имущества</t>
  </si>
  <si>
    <t>Объект</t>
  </si>
  <si>
    <t>Количество работ (услуг)</t>
  </si>
  <si>
    <t>Стоимость работ (услуг), руб.</t>
  </si>
  <si>
    <t>Поверка на сопротивление изоляции (перчатки, обувь)</t>
  </si>
  <si>
    <t>Техническое обслуживание внутренних инженерных сантехнических и электротехнических сетей</t>
  </si>
  <si>
    <t>Аварийное обслуживание внутренних инженерных сантехнических и электротехнических сетей</t>
  </si>
  <si>
    <t>Обслуживание приборов учета потребления коммунальных услуг</t>
  </si>
  <si>
    <t>Осмотр пожарного гидранта</t>
  </si>
  <si>
    <t>Проведение дератизации и дезинсекции</t>
  </si>
  <si>
    <t>Техническое обслуживание и регламентно-профилактический ремонт системы видеонаблюдения</t>
  </si>
  <si>
    <t>Ремонт офисной техники и заправка картриджей</t>
  </si>
  <si>
    <t>Проверка и перезарядка огнетущителей</t>
  </si>
  <si>
    <t xml:space="preserve">Обслуживание радиоканальной системы пультовой охраны </t>
  </si>
  <si>
    <t>Ремонт инвентаря и оборудования</t>
  </si>
  <si>
    <t>6.1.4. Расчет (обоснование) расходов на оплату прочих работ, услуг</t>
  </si>
  <si>
    <t>Количество договоров</t>
  </si>
  <si>
    <t>Проведение санитарно-гигиенической экспертизы, лабораторно-инструментальных исследований</t>
  </si>
  <si>
    <t>Оценка соответствия режимов воспитания и обучения детей</t>
  </si>
  <si>
    <t>Оплата ежегодного медицинского осмотра</t>
  </si>
  <si>
    <t>Обучение и гигиеническая аттестация сотрудников</t>
  </si>
  <si>
    <t>Подписка на периодические издания (журналы)</t>
  </si>
  <si>
    <t>Обслуживание баз данных бухгалтерии</t>
  </si>
  <si>
    <t>Обслуживание сайта</t>
  </si>
  <si>
    <t>Приобретение программного обеспечения для ПК</t>
  </si>
  <si>
    <t>Оформление документов о технологическом присоединении</t>
  </si>
  <si>
    <t>Обучение ПТМ, ОТ, ГО ЧС</t>
  </si>
  <si>
    <t>Техническое обслуживание АПС</t>
  </si>
  <si>
    <t>6.1.5. Расчет (обоснование) расходов на приобретение материальных запасов</t>
  </si>
  <si>
    <t>Средняя стоимость, руб.</t>
  </si>
  <si>
    <t>Сумма, руб. (гр2 х гр3)</t>
  </si>
  <si>
    <t>Бумага офисная</t>
  </si>
  <si>
    <t>Строительные материалы</t>
  </si>
  <si>
    <t>Мягкий инвентарь</t>
  </si>
  <si>
    <t>Прочие материальные запасы</t>
  </si>
  <si>
    <t>Прочие МЗ однократного применения</t>
  </si>
  <si>
    <t>Средства мющие, чистящие</t>
  </si>
  <si>
    <r>
      <t xml:space="preserve">тел. </t>
    </r>
    <r>
      <rPr>
        <u val="single"/>
        <sz val="12"/>
        <color indexed="8"/>
        <rFont val="Times New Roman"/>
        <family val="1"/>
      </rPr>
      <t>60-24-42</t>
    </r>
  </si>
  <si>
    <t>«_____» ________________ 20__ г.</t>
  </si>
  <si>
    <t>главный бугалтер</t>
  </si>
  <si>
    <t>Н.Е.Чучева</t>
  </si>
  <si>
    <t>60-24-42</t>
  </si>
  <si>
    <t>Расчеты (обоснования) к плану финансово-хозяйственной деятельности государственного (муниципального) учреждения</t>
  </si>
  <si>
    <t>1.2.  Расчеты (обоснования) выплат персоналу (строка 2110)</t>
  </si>
  <si>
    <r>
      <t xml:space="preserve">Источник финансового обеспечения   </t>
    </r>
    <r>
      <rPr>
        <u val="single"/>
        <sz val="11"/>
        <rFont val="Times New Roman"/>
        <family val="1"/>
      </rPr>
      <t>субсидии на иные цели</t>
    </r>
  </si>
  <si>
    <t>Расчеты (обоснования) расходов на оплату труда</t>
  </si>
  <si>
    <t>№ 
п/п</t>
  </si>
  <si>
    <t>Должность, 
группа должностей</t>
  </si>
  <si>
    <t>Ежемесячная надбавка к должностному окладу,(северная надбавка)</t>
  </si>
  <si>
    <t>Фонд оплаты труда в год, руб.(гр. 3 x( гр. 4 +гр.8+гр.9) x 12)</t>
  </si>
  <si>
    <t>всего</t>
  </si>
  <si>
    <t>1</t>
  </si>
  <si>
    <t>4</t>
  </si>
  <si>
    <t>5</t>
  </si>
  <si>
    <t>6</t>
  </si>
  <si>
    <t>7</t>
  </si>
  <si>
    <t>8</t>
  </si>
  <si>
    <t>Дополнительные рабочие места временные на 1 месяц                              Рабочий по благоустройству  населенных пунктов</t>
  </si>
  <si>
    <t xml:space="preserve">Итого: </t>
  </si>
  <si>
    <t>Дополнительные рабочие места временные для работы в лагере с дневным пребыванием</t>
  </si>
  <si>
    <t>9</t>
  </si>
  <si>
    <r>
      <t xml:space="preserve">Источник финансового обеспечения
</t>
    </r>
    <r>
      <rPr>
        <u val="single"/>
        <sz val="11"/>
        <color indexed="8"/>
        <rFont val="Times New Roman"/>
        <family val="1"/>
      </rPr>
      <t>субсидии на иные цели</t>
    </r>
  </si>
  <si>
    <t>2.2.1. Расчеты (обоснования) выплат персоналу компенсации коммунальных услуг</t>
  </si>
  <si>
    <t>Численность</t>
  </si>
  <si>
    <t>Размер выплаты</t>
  </si>
  <si>
    <t>Сумма, руб. (гр. 3 x гр. 4 x 
гр. 5)</t>
  </si>
  <si>
    <t>Компенсация расходов по оплате коммунальных услуг педагогическим работникам</t>
  </si>
  <si>
    <t xml:space="preserve">        2.2.3.Расчет (обоснование) расходов на предоставление единовременной выплаты работникам при прохождении добровольной вакцинации от COVID-19</t>
  </si>
  <si>
    <t>Количе   ство</t>
  </si>
  <si>
    <t>Сумма, руб. 
(гр. 2 x гр. 3)</t>
  </si>
  <si>
    <t>Единовременная выплата</t>
  </si>
  <si>
    <t>6.2.Расчет (обоснования) расходов на закупку товаров, работ, услуг (стр 2640)</t>
  </si>
  <si>
    <r>
      <t xml:space="preserve">Источник финансового обеспечения
субсидии на </t>
    </r>
    <r>
      <rPr>
        <u val="single"/>
        <sz val="11"/>
        <color indexed="8"/>
        <rFont val="Times New Roman"/>
        <family val="1"/>
      </rPr>
      <t>иные цели</t>
    </r>
  </si>
  <si>
    <t xml:space="preserve"> 6.2.1. Расчет (обоснование) расходов на оплату работ, услуг по содержанию имущества</t>
  </si>
  <si>
    <t xml:space="preserve"> 6.2.2. Расчет (обоснование) расходов на оплату прочих работ, услуг </t>
  </si>
  <si>
    <t>Оплата медицинского осмотра</t>
  </si>
  <si>
    <t xml:space="preserve"> 6.2.3. Расчет (обоснование) расходов на оплату страхования</t>
  </si>
  <si>
    <t>Страхование от несчастного случая</t>
  </si>
  <si>
    <t>6.2.4. Расчет (обоснование) расходов на приобретение основных средств</t>
  </si>
  <si>
    <t>6.2.5. Расчет (обоснование) расходов на приобретение материальных запасов</t>
  </si>
  <si>
    <t>Медикаменты</t>
  </si>
  <si>
    <t>Материалы для проведения мероприятий в летнем лагере</t>
  </si>
  <si>
    <t xml:space="preserve">Н.Е.Чучева </t>
  </si>
  <si>
    <t>Продукты питания</t>
  </si>
  <si>
    <t>=</t>
  </si>
  <si>
    <t>4.2.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</si>
  <si>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 xml:space="preserve">     с применением ставки взносов в ФСС РФ по ставке 2,9%</t>
  </si>
  <si>
    <t>профил</t>
  </si>
  <si>
    <t>Ремонт сетей холодного водоснабжения</t>
  </si>
  <si>
    <t>Повышение квалификации</t>
  </si>
  <si>
    <t>Организация питания в летнем лагере</t>
  </si>
  <si>
    <t xml:space="preserve">субсидии на финансовое обеспечение выполнения муниципального задания на оказание </t>
  </si>
  <si>
    <t>Компенсация расходов по проезду к новому месту жительства</t>
  </si>
  <si>
    <t xml:space="preserve">Сумма, руб. </t>
  </si>
  <si>
    <t>2.1.5. Расчеты (обоснования) выплат компенсации расходов к новому месту жительства</t>
  </si>
  <si>
    <t>25</t>
  </si>
  <si>
    <t>Замеры сопротивления</t>
  </si>
  <si>
    <t>Спецоценка</t>
  </si>
  <si>
    <t>Вода бутилированная</t>
  </si>
  <si>
    <t>Стканчики одноразовые</t>
  </si>
  <si>
    <t>Наборы для призов</t>
  </si>
  <si>
    <t>субсидии на иные  цели</t>
  </si>
  <si>
    <t>Социальное обеспечение, субвенции на дополнительные меры социальной поддержки работникам муниципальных образовательных организаций</t>
  </si>
  <si>
    <t>мая</t>
  </si>
  <si>
    <t>Р.М.Вебер</t>
  </si>
  <si>
    <t>МФУ</t>
  </si>
  <si>
    <t xml:space="preserve">Аппарат телефонный </t>
  </si>
  <si>
    <t>Ламинатор</t>
  </si>
  <si>
    <t>Ноутбук</t>
  </si>
  <si>
    <t>Шредер</t>
  </si>
  <si>
    <t xml:space="preserve">Материалы для проведения мероприятий </t>
  </si>
  <si>
    <t>19</t>
  </si>
  <si>
    <t>19.05.2023</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</si>
</sst>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р_._-;\-* #,##0.00\ _р_._-;_-* &quot;-&quot;??\ _р_._-;_-@_-"/>
    <numFmt numFmtId="177" formatCode="0.0"/>
  </numFmts>
  <fonts count="95">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u val="single"/>
      <sz val="11"/>
      <color indexed="8"/>
      <name val="Times New Roman"/>
      <family val="1"/>
    </font>
    <font>
      <sz val="10"/>
      <name val="Arial"/>
      <family val="2"/>
    </font>
    <font>
      <sz val="10"/>
      <name val="Arial Cyr"/>
      <family val="0"/>
    </font>
    <font>
      <b/>
      <u val="single"/>
      <sz val="11"/>
      <color indexed="8"/>
      <name val="Times New Roman"/>
      <family val="1"/>
    </font>
    <font>
      <b/>
      <sz val="11"/>
      <color indexed="8"/>
      <name val="Times New Roman"/>
      <family val="1"/>
    </font>
    <font>
      <sz val="12"/>
      <name val="Times New Roman"/>
      <family val="1"/>
    </font>
    <font>
      <u val="single"/>
      <sz val="12"/>
      <color indexed="8"/>
      <name val="Times New Roman"/>
      <family val="1"/>
    </font>
    <font>
      <b/>
      <sz val="12"/>
      <name val="Times New Roman"/>
      <family val="1"/>
    </font>
    <font>
      <u val="single"/>
      <sz val="11"/>
      <name val="Times New Roman"/>
      <family val="1"/>
    </font>
    <font>
      <sz val="14"/>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1"/>
      <color indexed="9"/>
      <name val="Times New Roman"/>
      <family val="1"/>
    </font>
    <font>
      <sz val="10"/>
      <color indexed="8"/>
      <name val="Times New Roman"/>
      <family val="1"/>
    </font>
    <font>
      <sz val="9"/>
      <color indexed="8"/>
      <name val="Times New Roman"/>
      <family val="1"/>
    </font>
    <font>
      <sz val="12"/>
      <color indexed="8"/>
      <name val="Times New Roman"/>
      <family val="1"/>
    </font>
    <font>
      <vertAlign val="superscript"/>
      <sz val="12"/>
      <color indexed="8"/>
      <name val="Times New Roman"/>
      <family val="1"/>
    </font>
    <font>
      <sz val="12"/>
      <color indexed="8"/>
      <name val="Calibri"/>
      <family val="2"/>
    </font>
    <font>
      <vertAlign val="superscript"/>
      <sz val="18"/>
      <color indexed="8"/>
      <name val="Times New Roman"/>
      <family val="1"/>
    </font>
    <font>
      <sz val="8"/>
      <color indexed="8"/>
      <name val="Times New Roman"/>
      <family val="1"/>
    </font>
    <font>
      <b/>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0"/>
      <name val="Times New Roman"/>
      <family val="1"/>
    </font>
    <font>
      <sz val="11"/>
      <color theme="0"/>
      <name val="Times New Roman"/>
      <family val="1"/>
    </font>
    <font>
      <sz val="10"/>
      <color theme="1"/>
      <name val="Times New Roman"/>
      <family val="1"/>
    </font>
    <font>
      <sz val="9"/>
      <color theme="1"/>
      <name val="Times New Roman"/>
      <family val="1"/>
    </font>
    <font>
      <sz val="12"/>
      <color theme="1"/>
      <name val="Times New Roman"/>
      <family val="1"/>
    </font>
    <font>
      <vertAlign val="superscript"/>
      <sz val="12"/>
      <color theme="1"/>
      <name val="Times New Roman"/>
      <family val="1"/>
    </font>
    <font>
      <sz val="12"/>
      <color theme="1"/>
      <name val="Calibri"/>
      <family val="2"/>
    </font>
    <font>
      <vertAlign val="superscript"/>
      <sz val="18"/>
      <color theme="1"/>
      <name val="Times New Roman"/>
      <family val="1"/>
    </font>
    <font>
      <sz val="8"/>
      <color theme="1"/>
      <name val="Times New Roman"/>
      <family val="1"/>
    </font>
    <font>
      <u val="single"/>
      <sz val="12"/>
      <color theme="1"/>
      <name val="Times New Roman"/>
      <family val="1"/>
    </font>
    <font>
      <b/>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style="mediumDashDot"/>
      <right>
        <color indexed="63"/>
      </right>
      <top>
        <color indexed="63"/>
      </top>
      <bottom style="thin"/>
    </border>
    <border>
      <left style="mediumDashDot"/>
      <right>
        <color indexed="63"/>
      </right>
      <top style="thin"/>
      <bottom>
        <color indexed="63"/>
      </bottom>
    </border>
    <border>
      <left>
        <color indexed="63"/>
      </left>
      <right style="mediumDashDot"/>
      <top>
        <color indexed="63"/>
      </top>
      <bottom style="thin"/>
    </border>
    <border>
      <left>
        <color indexed="63"/>
      </left>
      <right style="mediumDashDo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24" fillId="0" borderId="0">
      <alignment/>
      <protection/>
    </xf>
    <xf numFmtId="0" fontId="23" fillId="0" borderId="0">
      <alignment/>
      <protection/>
    </xf>
    <xf numFmtId="0" fontId="24" fillId="0" borderId="0">
      <alignment/>
      <protection/>
    </xf>
    <xf numFmtId="0" fontId="23" fillId="0" borderId="0">
      <alignment/>
      <protection/>
    </xf>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4" fillId="0" borderId="0" applyFont="0" applyFill="0" applyBorder="0" applyAlignment="0" applyProtection="0"/>
    <xf numFmtId="0" fontId="81" fillId="32" borderId="0" applyNumberFormat="0" applyBorder="0" applyAlignment="0" applyProtection="0"/>
  </cellStyleXfs>
  <cellXfs count="822">
    <xf numFmtId="0" fontId="0" fillId="0" borderId="0" xfId="0"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0" fontId="1" fillId="0" borderId="0" xfId="0" applyFont="1" applyBorder="1" applyAlignment="1">
      <alignment horizontal="center" vertical="top"/>
    </xf>
    <xf numFmtId="0" fontId="0" fillId="0" borderId="0" xfId="53">
      <alignment/>
      <protection/>
    </xf>
    <xf numFmtId="0" fontId="82" fillId="0" borderId="0" xfId="53" applyFont="1" applyBorder="1" applyAlignment="1">
      <alignment/>
      <protection/>
    </xf>
    <xf numFmtId="0" fontId="82" fillId="0" borderId="1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Fill="1" applyBorder="1" applyAlignment="1">
      <alignment horizontal="center" vertical="center" wrapText="1"/>
      <protection/>
    </xf>
    <xf numFmtId="0" fontId="83" fillId="0" borderId="21" xfId="53" applyFont="1" applyBorder="1" applyAlignment="1">
      <alignment horizontal="center"/>
      <protection/>
    </xf>
    <xf numFmtId="0" fontId="84" fillId="0" borderId="0" xfId="53" applyFont="1">
      <alignment/>
      <protection/>
    </xf>
    <xf numFmtId="0" fontId="83" fillId="0" borderId="21" xfId="53" applyFont="1" applyBorder="1" applyAlignment="1">
      <alignment horizontal="left" vertical="top" wrapText="1"/>
      <protection/>
    </xf>
    <xf numFmtId="0" fontId="83" fillId="0" borderId="21" xfId="53" applyFont="1" applyBorder="1" applyAlignment="1">
      <alignment horizontal="center" vertical="center"/>
      <protection/>
    </xf>
    <xf numFmtId="4" fontId="83" fillId="0" borderId="21" xfId="53" applyNumberFormat="1" applyFont="1" applyBorder="1" applyAlignment="1">
      <alignment horizontal="center"/>
      <protection/>
    </xf>
    <xf numFmtId="4" fontId="0" fillId="0" borderId="0" xfId="53" applyNumberFormat="1" applyFont="1">
      <alignment/>
      <protection/>
    </xf>
    <xf numFmtId="4" fontId="83" fillId="0" borderId="22" xfId="53" applyNumberFormat="1" applyFont="1" applyFill="1" applyBorder="1" applyAlignment="1">
      <alignment horizontal="center"/>
      <protection/>
    </xf>
    <xf numFmtId="0" fontId="84" fillId="0" borderId="0" xfId="53" applyFont="1" applyBorder="1">
      <alignment/>
      <protection/>
    </xf>
    <xf numFmtId="4" fontId="84" fillId="0" borderId="0" xfId="53" applyNumberFormat="1" applyFont="1">
      <alignment/>
      <protection/>
    </xf>
    <xf numFmtId="0" fontId="0" fillId="0" borderId="0" xfId="53" applyFont="1">
      <alignment/>
      <protection/>
    </xf>
    <xf numFmtId="0" fontId="83" fillId="0" borderId="21" xfId="53" applyFont="1" applyBorder="1">
      <alignment/>
      <protection/>
    </xf>
    <xf numFmtId="0" fontId="83" fillId="0" borderId="21" xfId="53" applyFont="1" applyBorder="1" applyAlignment="1">
      <alignment horizontal="right"/>
      <protection/>
    </xf>
    <xf numFmtId="4" fontId="83" fillId="0" borderId="21" xfId="53" applyNumberFormat="1" applyFont="1" applyBorder="1">
      <alignment/>
      <protection/>
    </xf>
    <xf numFmtId="0" fontId="83" fillId="0" borderId="23" xfId="53" applyFont="1" applyBorder="1">
      <alignment/>
      <protection/>
    </xf>
    <xf numFmtId="0" fontId="83" fillId="0" borderId="23" xfId="53" applyFont="1" applyBorder="1" applyAlignment="1">
      <alignment horizontal="center"/>
      <protection/>
    </xf>
    <xf numFmtId="4" fontId="83" fillId="0" borderId="23" xfId="53" applyNumberFormat="1" applyFont="1" applyBorder="1" applyAlignment="1">
      <alignment horizontal="center" vertical="center"/>
      <protection/>
    </xf>
    <xf numFmtId="0" fontId="0" fillId="0" borderId="23" xfId="53" applyBorder="1">
      <alignment/>
      <protection/>
    </xf>
    <xf numFmtId="2" fontId="83" fillId="0" borderId="23" xfId="53" applyNumberFormat="1" applyFont="1" applyBorder="1" applyAlignment="1">
      <alignment horizontal="center"/>
      <protection/>
    </xf>
    <xf numFmtId="0" fontId="83" fillId="0" borderId="0" xfId="53" applyFont="1" applyBorder="1">
      <alignment/>
      <protection/>
    </xf>
    <xf numFmtId="0" fontId="85" fillId="0" borderId="0" xfId="53" applyFont="1" applyBorder="1" applyAlignment="1">
      <alignment horizontal="right"/>
      <protection/>
    </xf>
    <xf numFmtId="0" fontId="85" fillId="0" borderId="0" xfId="53" applyFont="1" applyBorder="1">
      <alignment/>
      <protection/>
    </xf>
    <xf numFmtId="4" fontId="85" fillId="0" borderId="0" xfId="53" applyNumberFormat="1" applyFont="1" applyBorder="1">
      <alignment/>
      <protection/>
    </xf>
    <xf numFmtId="4" fontId="85" fillId="0" borderId="0" xfId="53" applyNumberFormat="1" applyFont="1" applyBorder="1" applyAlignment="1">
      <alignment/>
      <protection/>
    </xf>
    <xf numFmtId="0" fontId="0" fillId="0" borderId="0" xfId="53" applyBorder="1">
      <alignment/>
      <protection/>
    </xf>
    <xf numFmtId="2" fontId="83" fillId="0" borderId="0" xfId="53" applyNumberFormat="1" applyFont="1" applyBorder="1" applyAlignment="1">
      <alignment horizontal="center"/>
      <protection/>
    </xf>
    <xf numFmtId="4" fontId="83" fillId="0" borderId="0" xfId="53" applyNumberFormat="1" applyFont="1" applyBorder="1" applyAlignment="1">
      <alignment horizontal="center"/>
      <protection/>
    </xf>
    <xf numFmtId="0" fontId="0" fillId="0" borderId="0" xfId="53" applyFont="1" applyBorder="1">
      <alignment/>
      <protection/>
    </xf>
    <xf numFmtId="0" fontId="86" fillId="0" borderId="0" xfId="53" applyFont="1">
      <alignment/>
      <protection/>
    </xf>
    <xf numFmtId="0" fontId="5" fillId="0" borderId="0" xfId="53" applyFont="1">
      <alignment/>
      <protection/>
    </xf>
    <xf numFmtId="4" fontId="83" fillId="0" borderId="21" xfId="53" applyNumberFormat="1" applyFont="1" applyBorder="1" applyAlignment="1">
      <alignment horizontal="center" vertical="center"/>
      <protection/>
    </xf>
    <xf numFmtId="2" fontId="83" fillId="0" borderId="21" xfId="53" applyNumberFormat="1" applyFont="1" applyBorder="1" applyAlignment="1">
      <alignment horizontal="center" vertical="center"/>
      <protection/>
    </xf>
    <xf numFmtId="0" fontId="83" fillId="0" borderId="0" xfId="53" applyFont="1">
      <alignment/>
      <protection/>
    </xf>
    <xf numFmtId="0" fontId="83" fillId="0" borderId="0" xfId="53" applyFont="1" applyBorder="1" applyAlignment="1">
      <alignment horizontal="right"/>
      <protection/>
    </xf>
    <xf numFmtId="0" fontId="83" fillId="0" borderId="0" xfId="53" applyFont="1" applyBorder="1" applyAlignment="1">
      <alignment horizontal="center" vertical="center"/>
      <protection/>
    </xf>
    <xf numFmtId="2" fontId="83" fillId="0" borderId="0" xfId="53" applyNumberFormat="1" applyFont="1" applyBorder="1" applyAlignment="1">
      <alignment horizontal="center" vertical="center"/>
      <protection/>
    </xf>
    <xf numFmtId="0" fontId="5" fillId="33" borderId="21" xfId="57" applyFont="1" applyFill="1" applyBorder="1" applyAlignment="1">
      <alignment horizontal="center" vertical="center" wrapText="1"/>
      <protection/>
    </xf>
    <xf numFmtId="0" fontId="5" fillId="0" borderId="21" xfId="56" applyFont="1" applyBorder="1" applyAlignment="1">
      <alignment horizontal="center" vertical="center"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2" fontId="5" fillId="0" borderId="21" xfId="56" applyNumberFormat="1" applyFont="1" applyBorder="1" applyAlignment="1">
      <alignment horizontal="center" vertical="center" wrapText="1"/>
      <protection/>
    </xf>
    <xf numFmtId="2" fontId="5" fillId="33" borderId="21" xfId="57" applyNumberFormat="1" applyFont="1" applyFill="1" applyBorder="1" applyAlignment="1">
      <alignment horizontal="center" vertical="center" wrapText="1"/>
      <protection/>
    </xf>
    <xf numFmtId="0" fontId="5" fillId="33" borderId="0" xfId="57" applyFont="1" applyFill="1" applyBorder="1" applyAlignment="1">
      <alignment horizontal="center" vertical="center" wrapText="1"/>
      <protection/>
    </xf>
    <xf numFmtId="2" fontId="5" fillId="0" borderId="0" xfId="56" applyNumberFormat="1" applyFont="1" applyBorder="1" applyAlignment="1">
      <alignment horizontal="center" vertical="center" wrapText="1"/>
      <protection/>
    </xf>
    <xf numFmtId="0" fontId="5" fillId="0" borderId="0" xfId="56" applyFont="1" applyBorder="1" applyAlignment="1">
      <alignment horizontal="center" vertical="center" wrapText="1"/>
      <protection/>
    </xf>
    <xf numFmtId="2" fontId="5" fillId="33" borderId="0" xfId="57" applyNumberFormat="1" applyFont="1" applyFill="1" applyBorder="1" applyAlignment="1">
      <alignment horizontal="center" vertical="center" wrapText="1"/>
      <protection/>
    </xf>
    <xf numFmtId="0" fontId="5" fillId="33" borderId="25" xfId="57" applyFont="1" applyFill="1" applyBorder="1" applyAlignment="1">
      <alignment horizontal="center" wrapText="1"/>
      <protection/>
    </xf>
    <xf numFmtId="0" fontId="5" fillId="33" borderId="21" xfId="57" applyFont="1" applyFill="1" applyBorder="1" applyAlignment="1">
      <alignment horizontal="left" vertical="center" wrapText="1"/>
      <protection/>
    </xf>
    <xf numFmtId="177" fontId="5" fillId="0" borderId="21" xfId="56" applyNumberFormat="1" applyFont="1" applyBorder="1" applyAlignment="1">
      <alignment horizontal="center" vertical="top" wrapText="1"/>
      <protection/>
    </xf>
    <xf numFmtId="0" fontId="5" fillId="0" borderId="21" xfId="56" applyFont="1" applyBorder="1" applyAlignment="1">
      <alignment horizontal="center"/>
      <protection/>
    </xf>
    <xf numFmtId="0" fontId="5" fillId="0" borderId="25" xfId="57" applyNumberFormat="1" applyFont="1" applyFill="1" applyBorder="1" applyAlignment="1">
      <alignment horizontal="center"/>
      <protection/>
    </xf>
    <xf numFmtId="0" fontId="5" fillId="0" borderId="21" xfId="56" applyFont="1" applyBorder="1" applyAlignment="1">
      <alignment horizontal="left" vertical="top" wrapText="1"/>
      <protection/>
    </xf>
    <xf numFmtId="0" fontId="5" fillId="0" borderId="21" xfId="56" applyFont="1" applyBorder="1" applyAlignment="1">
      <alignment horizontal="center" vertical="top" wrapText="1"/>
      <protection/>
    </xf>
    <xf numFmtId="2" fontId="5" fillId="0" borderId="21" xfId="56" applyNumberFormat="1" applyFont="1" applyBorder="1" applyAlignment="1">
      <alignment horizontal="center" vertical="top" wrapText="1"/>
      <protection/>
    </xf>
    <xf numFmtId="177" fontId="0" fillId="0" borderId="0" xfId="53" applyNumberFormat="1">
      <alignment/>
      <protection/>
    </xf>
    <xf numFmtId="0" fontId="5" fillId="0" borderId="25" xfId="57" applyNumberFormat="1" applyFont="1" applyFill="1" applyBorder="1" applyAlignment="1">
      <alignment horizontal="left" vertical="top"/>
      <protection/>
    </xf>
    <xf numFmtId="0" fontId="0" fillId="0" borderId="21" xfId="53" applyBorder="1">
      <alignment/>
      <protection/>
    </xf>
    <xf numFmtId="0" fontId="5" fillId="0" borderId="21" xfId="56" applyFont="1" applyFill="1" applyBorder="1" applyAlignment="1">
      <alignment horizontal="left" vertical="top" wrapText="1"/>
      <protection/>
    </xf>
    <xf numFmtId="0" fontId="82" fillId="0" borderId="21" xfId="53" applyFont="1" applyBorder="1">
      <alignment/>
      <protection/>
    </xf>
    <xf numFmtId="0" fontId="0" fillId="0" borderId="21" xfId="53" applyBorder="1" applyAlignment="1">
      <alignment horizontal="center"/>
      <protection/>
    </xf>
    <xf numFmtId="0" fontId="82" fillId="0" borderId="21" xfId="53" applyFont="1" applyBorder="1" applyAlignment="1">
      <alignment horizontal="center"/>
      <protection/>
    </xf>
    <xf numFmtId="3" fontId="83" fillId="0" borderId="21" xfId="53" applyNumberFormat="1" applyFont="1" applyBorder="1" applyAlignment="1">
      <alignment horizontal="center"/>
      <protection/>
    </xf>
    <xf numFmtId="4" fontId="0" fillId="0" borderId="0" xfId="53" applyNumberFormat="1">
      <alignment/>
      <protection/>
    </xf>
    <xf numFmtId="0" fontId="0" fillId="0" borderId="21" xfId="53" applyFont="1" applyBorder="1">
      <alignment/>
      <protection/>
    </xf>
    <xf numFmtId="49" fontId="83" fillId="0" borderId="21" xfId="53" applyNumberFormat="1" applyFont="1" applyBorder="1" applyAlignment="1">
      <alignment horizontal="center"/>
      <protection/>
    </xf>
    <xf numFmtId="0" fontId="83" fillId="0" borderId="25" xfId="53" applyFont="1" applyBorder="1" applyAlignment="1">
      <alignment horizontal="left" wrapText="1"/>
      <protection/>
    </xf>
    <xf numFmtId="0" fontId="83" fillId="0" borderId="10" xfId="53" applyFont="1" applyBorder="1" applyAlignment="1">
      <alignment horizontal="left" wrapText="1"/>
      <protection/>
    </xf>
    <xf numFmtId="0" fontId="83" fillId="0" borderId="24" xfId="53" applyFont="1" applyBorder="1" applyAlignment="1">
      <alignment horizontal="right" wrapText="1"/>
      <protection/>
    </xf>
    <xf numFmtId="0" fontId="82" fillId="0" borderId="0" xfId="53" applyFont="1">
      <alignment/>
      <protection/>
    </xf>
    <xf numFmtId="0" fontId="82" fillId="0" borderId="0" xfId="53" applyFont="1" applyAlignment="1">
      <alignment horizontal="center"/>
      <protection/>
    </xf>
    <xf numFmtId="0" fontId="82" fillId="0" borderId="0" xfId="53" applyFont="1" applyBorder="1" applyAlignment="1">
      <alignment horizontal="center"/>
      <protection/>
    </xf>
    <xf numFmtId="0" fontId="83" fillId="0" borderId="25" xfId="53" applyFont="1" applyBorder="1">
      <alignment/>
      <protection/>
    </xf>
    <xf numFmtId="4" fontId="83" fillId="0" borderId="10" xfId="53" applyNumberFormat="1" applyFont="1" applyBorder="1" applyAlignment="1">
      <alignment horizontal="center"/>
      <protection/>
    </xf>
    <xf numFmtId="4" fontId="83" fillId="0" borderId="24" xfId="53" applyNumberFormat="1" applyFont="1" applyBorder="1" applyAlignment="1">
      <alignment horizontal="center"/>
      <protection/>
    </xf>
    <xf numFmtId="0" fontId="82" fillId="0" borderId="0" xfId="53" applyFont="1" applyAlignment="1">
      <alignment/>
      <protection/>
    </xf>
    <xf numFmtId="4" fontId="84" fillId="34" borderId="0" xfId="53" applyNumberFormat="1" applyFont="1" applyFill="1">
      <alignment/>
      <protection/>
    </xf>
    <xf numFmtId="0" fontId="87" fillId="0" borderId="21" xfId="53" applyFont="1" applyBorder="1" applyAlignment="1">
      <alignment horizontal="center"/>
      <protection/>
    </xf>
    <xf numFmtId="0" fontId="83" fillId="0" borderId="25" xfId="53" applyFont="1" applyBorder="1" applyAlignment="1">
      <alignment vertical="center" wrapText="1"/>
      <protection/>
    </xf>
    <xf numFmtId="0" fontId="83" fillId="0" borderId="25" xfId="53" applyFont="1" applyBorder="1" applyAlignment="1">
      <alignment/>
      <protection/>
    </xf>
    <xf numFmtId="0" fontId="83" fillId="0" borderId="21" xfId="53" applyFont="1" applyBorder="1" applyAlignment="1">
      <alignment horizontal="left"/>
      <protection/>
    </xf>
    <xf numFmtId="4" fontId="5" fillId="34" borderId="21" xfId="53" applyNumberFormat="1" applyFont="1" applyFill="1" applyBorder="1" applyAlignment="1">
      <alignment horizontal="center" vertical="center"/>
      <protection/>
    </xf>
    <xf numFmtId="0" fontId="83" fillId="0" borderId="26" xfId="53" applyFont="1" applyFill="1" applyBorder="1" applyAlignment="1">
      <alignment horizontal="center"/>
      <protection/>
    </xf>
    <xf numFmtId="0" fontId="83" fillId="0" borderId="21" xfId="53" applyFont="1" applyBorder="1" applyAlignment="1">
      <alignment wrapText="1"/>
      <protection/>
    </xf>
    <xf numFmtId="4" fontId="5" fillId="0" borderId="21" xfId="53" applyNumberFormat="1" applyFont="1" applyBorder="1" applyAlignment="1">
      <alignment horizontal="center" vertical="center"/>
      <protection/>
    </xf>
    <xf numFmtId="0" fontId="83" fillId="0" borderId="23" xfId="53" applyFont="1" applyBorder="1" applyAlignment="1">
      <alignment horizontal="right"/>
      <protection/>
    </xf>
    <xf numFmtId="0" fontId="83" fillId="0" borderId="23" xfId="53" applyFont="1" applyBorder="1" applyAlignment="1">
      <alignment/>
      <protection/>
    </xf>
    <xf numFmtId="4" fontId="83" fillId="0" borderId="23" xfId="53" applyNumberFormat="1" applyFont="1" applyBorder="1">
      <alignment/>
      <protection/>
    </xf>
    <xf numFmtId="0" fontId="83" fillId="0" borderId="0" xfId="53" applyFont="1" applyBorder="1" applyAlignment="1">
      <alignment horizontal="center" vertical="center" wrapText="1"/>
      <protection/>
    </xf>
    <xf numFmtId="4" fontId="83" fillId="0" borderId="0" xfId="53" applyNumberFormat="1" applyFont="1" applyBorder="1" applyAlignment="1">
      <alignment horizontal="center" vertical="center" wrapText="1"/>
      <protection/>
    </xf>
    <xf numFmtId="0" fontId="87" fillId="0" borderId="0" xfId="53" applyFont="1" applyBorder="1" applyAlignment="1">
      <alignment horizontal="center"/>
      <protection/>
    </xf>
    <xf numFmtId="0" fontId="0" fillId="0" borderId="0" xfId="53" applyAlignment="1">
      <alignment/>
      <protection/>
    </xf>
    <xf numFmtId="0" fontId="83" fillId="0" borderId="0" xfId="53" applyFont="1" applyBorder="1" applyAlignment="1">
      <alignment horizontal="center"/>
      <protection/>
    </xf>
    <xf numFmtId="0" fontId="0" fillId="0" borderId="0" xfId="53" applyBorder="1" applyAlignment="1">
      <alignment horizontal="left"/>
      <protection/>
    </xf>
    <xf numFmtId="0" fontId="88" fillId="0" borderId="0" xfId="53" applyFont="1" applyBorder="1" applyAlignment="1">
      <alignment horizontal="justify" vertical="center" wrapText="1"/>
      <protection/>
    </xf>
    <xf numFmtId="0" fontId="88" fillId="0" borderId="0" xfId="53" applyFont="1" applyBorder="1" applyAlignment="1">
      <alignment horizontal="center" vertical="center" wrapText="1"/>
      <protection/>
    </xf>
    <xf numFmtId="0" fontId="89" fillId="0" borderId="0" xfId="53" applyFont="1" applyBorder="1" applyAlignment="1">
      <alignment horizontal="center" vertical="center" wrapText="1"/>
      <protection/>
    </xf>
    <xf numFmtId="0" fontId="89" fillId="0" borderId="0" xfId="53" applyFont="1" applyBorder="1" applyAlignment="1">
      <alignment horizontal="right" vertical="center" wrapText="1"/>
      <protection/>
    </xf>
    <xf numFmtId="0" fontId="89" fillId="0" borderId="0" xfId="53" applyFont="1" applyBorder="1" applyAlignment="1">
      <alignment horizontal="left" vertical="center" wrapText="1"/>
      <protection/>
    </xf>
    <xf numFmtId="0" fontId="88" fillId="0" borderId="0" xfId="53" applyFont="1" applyBorder="1" applyAlignment="1">
      <alignment vertical="center" wrapText="1"/>
      <protection/>
    </xf>
    <xf numFmtId="0" fontId="88" fillId="0" borderId="0" xfId="53" applyFont="1" applyAlignment="1">
      <alignment vertical="center"/>
      <protection/>
    </xf>
    <xf numFmtId="0" fontId="88" fillId="0" borderId="0" xfId="53" applyFont="1" applyAlignment="1">
      <alignment horizontal="justify" vertical="center" wrapText="1"/>
      <protection/>
    </xf>
    <xf numFmtId="4" fontId="83" fillId="34" borderId="21" xfId="53" applyNumberFormat="1" applyFont="1" applyFill="1" applyBorder="1" applyAlignment="1">
      <alignment horizontal="center" vertical="center"/>
      <protection/>
    </xf>
    <xf numFmtId="0" fontId="83" fillId="0" borderId="25" xfId="53" applyFont="1" applyBorder="1" applyAlignment="1">
      <alignment horizontal="left"/>
      <protection/>
    </xf>
    <xf numFmtId="0" fontId="83" fillId="0" borderId="10" xfId="53" applyFont="1" applyBorder="1" applyAlignment="1">
      <alignment horizontal="left"/>
      <protection/>
    </xf>
    <xf numFmtId="0" fontId="83" fillId="0" borderId="24" xfId="53" applyFont="1" applyBorder="1" applyAlignment="1">
      <alignment horizontal="center"/>
      <protection/>
    </xf>
    <xf numFmtId="0" fontId="83" fillId="0" borderId="25"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24" xfId="53" applyFont="1" applyBorder="1" applyAlignment="1">
      <alignment horizontal="left" vertical="top" wrapText="1"/>
      <protection/>
    </xf>
    <xf numFmtId="0" fontId="0" fillId="0" borderId="27" xfId="53" applyBorder="1" applyAlignment="1">
      <alignment horizontal="center" textRotation="90" wrapText="1"/>
      <protection/>
    </xf>
    <xf numFmtId="0" fontId="90" fillId="34" borderId="21" xfId="53" applyFont="1" applyFill="1" applyBorder="1" applyAlignment="1">
      <alignment textRotation="90"/>
      <protection/>
    </xf>
    <xf numFmtId="0" fontId="90" fillId="34" borderId="27" xfId="53" applyFont="1" applyFill="1" applyBorder="1" applyAlignment="1">
      <alignment textRotation="90"/>
      <protection/>
    </xf>
    <xf numFmtId="0" fontId="0" fillId="0" borderId="0" xfId="53" applyAlignment="1">
      <alignment horizontal="left"/>
      <protection/>
    </xf>
    <xf numFmtId="0" fontId="83" fillId="0" borderId="10" xfId="53" applyFont="1" applyBorder="1" applyAlignment="1">
      <alignment horizontal="center"/>
      <protection/>
    </xf>
    <xf numFmtId="4" fontId="83" fillId="0" borderId="0" xfId="53" applyNumberFormat="1" applyFont="1" applyBorder="1">
      <alignment/>
      <protection/>
    </xf>
    <xf numFmtId="0" fontId="91" fillId="0" borderId="0" xfId="53" applyFont="1" applyBorder="1" applyAlignment="1">
      <alignment vertical="center" wrapText="1"/>
      <protection/>
    </xf>
    <xf numFmtId="0" fontId="27" fillId="0" borderId="0" xfId="53" applyFont="1" applyBorder="1" applyAlignment="1">
      <alignment horizontal="left" vertical="center" wrapText="1"/>
      <protection/>
    </xf>
    <xf numFmtId="0" fontId="88" fillId="0" borderId="11" xfId="53" applyFont="1" applyBorder="1" applyAlignment="1">
      <alignment horizontal="center" vertical="center" wrapText="1"/>
      <protection/>
    </xf>
    <xf numFmtId="0" fontId="88" fillId="0" borderId="0" xfId="53" applyFont="1" applyBorder="1" applyAlignment="1">
      <alignment vertic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5" xfId="53" applyFont="1" applyBorder="1" applyAlignment="1">
      <alignment horizontal="center" vertical="center" wrapText="1"/>
      <protection/>
    </xf>
    <xf numFmtId="0" fontId="83" fillId="0" borderId="25" xfId="53" applyFont="1" applyBorder="1" applyAlignment="1">
      <alignment horizontal="center"/>
      <protection/>
    </xf>
    <xf numFmtId="0" fontId="88" fillId="0" borderId="0" xfId="53" applyFont="1" applyBorder="1" applyAlignment="1">
      <alignment horizontal="left" vertical="center" wrapText="1"/>
      <protection/>
    </xf>
    <xf numFmtId="0" fontId="0" fillId="0" borderId="0" xfId="54" applyNumberFormat="1" applyFont="1" applyBorder="1" applyAlignment="1">
      <alignment horizontal="left"/>
      <protection/>
    </xf>
    <xf numFmtId="0" fontId="4" fillId="0" borderId="0" xfId="54" applyNumberFormat="1" applyFont="1" applyBorder="1" applyAlignment="1">
      <alignment horizontal="center"/>
      <protection/>
    </xf>
    <xf numFmtId="0" fontId="4" fillId="0" borderId="0" xfId="54" applyNumberFormat="1" applyFont="1" applyBorder="1" applyAlignment="1">
      <alignment horizontal="left"/>
      <protection/>
    </xf>
    <xf numFmtId="49" fontId="4" fillId="0" borderId="0" xfId="54" applyNumberFormat="1" applyFont="1" applyBorder="1" applyAlignment="1">
      <alignment horizontal="left"/>
      <protection/>
    </xf>
    <xf numFmtId="49" fontId="4" fillId="0" borderId="23" xfId="54" applyNumberFormat="1" applyFont="1" applyBorder="1" applyAlignment="1">
      <alignment horizontal="left"/>
      <protection/>
    </xf>
    <xf numFmtId="0" fontId="0" fillId="0" borderId="22" xfId="0" applyBorder="1" applyAlignment="1">
      <alignment/>
    </xf>
    <xf numFmtId="0" fontId="0" fillId="0" borderId="21"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0" fillId="0" borderId="0" xfId="0" applyNumberFormat="1" applyAlignment="1">
      <alignment/>
    </xf>
    <xf numFmtId="0" fontId="27" fillId="0" borderId="21" xfId="0" applyFont="1" applyBorder="1" applyAlignment="1">
      <alignment horizontal="center" vertical="center"/>
    </xf>
    <xf numFmtId="0" fontId="27" fillId="0" borderId="21" xfId="0" applyFont="1" applyBorder="1" applyAlignment="1">
      <alignment horizontal="left" vertical="top" wrapText="1"/>
    </xf>
    <xf numFmtId="2" fontId="0" fillId="0" borderId="0" xfId="0" applyNumberFormat="1" applyFont="1" applyAlignment="1">
      <alignment/>
    </xf>
    <xf numFmtId="0" fontId="82" fillId="0" borderId="0" xfId="0" applyFont="1" applyBorder="1" applyAlignment="1">
      <alignment/>
    </xf>
    <xf numFmtId="0" fontId="82" fillId="0" borderId="11" xfId="0" applyFont="1" applyBorder="1" applyAlignment="1">
      <alignment horizontal="center"/>
    </xf>
    <xf numFmtId="0" fontId="0" fillId="0" borderId="21" xfId="54" applyNumberFormat="1" applyFont="1" applyBorder="1" applyAlignment="1">
      <alignment horizontal="center" vertical="top" wrapText="1"/>
      <protection/>
    </xf>
    <xf numFmtId="2" fontId="27" fillId="0" borderId="21" xfId="0" applyNumberFormat="1" applyFont="1" applyBorder="1" applyAlignment="1">
      <alignment horizontal="center" vertical="center"/>
    </xf>
    <xf numFmtId="2" fontId="27" fillId="34" borderId="21" xfId="54" applyNumberFormat="1" applyFont="1" applyFill="1" applyBorder="1" applyAlignment="1">
      <alignment horizontal="center" vertical="center"/>
      <protection/>
    </xf>
    <xf numFmtId="0" fontId="27" fillId="33" borderId="21" xfId="57" applyFont="1" applyFill="1" applyBorder="1" applyAlignment="1">
      <alignment horizontal="center" vertical="center" wrapText="1"/>
      <protection/>
    </xf>
    <xf numFmtId="2" fontId="27" fillId="0" borderId="21" xfId="56" applyNumberFormat="1" applyFont="1" applyBorder="1" applyAlignment="1">
      <alignment horizontal="center" vertical="center" wrapText="1"/>
      <protection/>
    </xf>
    <xf numFmtId="0" fontId="27" fillId="0" borderId="21" xfId="56" applyFont="1" applyBorder="1" applyAlignment="1">
      <alignment horizontal="center" vertical="center" wrapText="1"/>
      <protection/>
    </xf>
    <xf numFmtId="2" fontId="27" fillId="33" borderId="21" xfId="57" applyNumberFormat="1" applyFont="1" applyFill="1" applyBorder="1" applyAlignment="1">
      <alignment horizontal="center" vertical="center" wrapText="1"/>
      <protection/>
    </xf>
    <xf numFmtId="0" fontId="83" fillId="34" borderId="21" xfId="0" applyFont="1" applyFill="1" applyBorder="1" applyAlignment="1">
      <alignment horizontal="center" vertical="center" wrapText="1"/>
    </xf>
    <xf numFmtId="0" fontId="87" fillId="34" borderId="21" xfId="0" applyFont="1" applyFill="1" applyBorder="1" applyAlignment="1">
      <alignment horizontal="center"/>
    </xf>
    <xf numFmtId="0" fontId="87" fillId="34" borderId="25" xfId="0" applyFont="1" applyFill="1" applyBorder="1" applyAlignment="1">
      <alignment horizontal="center"/>
    </xf>
    <xf numFmtId="0" fontId="0" fillId="34" borderId="21" xfId="0" applyFill="1" applyBorder="1" applyAlignment="1">
      <alignment horizontal="center"/>
    </xf>
    <xf numFmtId="0" fontId="83" fillId="34" borderId="21" xfId="0" applyFont="1" applyFill="1" applyBorder="1" applyAlignment="1">
      <alignment horizontal="center"/>
    </xf>
    <xf numFmtId="0" fontId="0" fillId="34" borderId="21" xfId="0" applyFill="1" applyBorder="1" applyAlignment="1">
      <alignment horizontal="center" vertical="top" wrapText="1"/>
    </xf>
    <xf numFmtId="4" fontId="83" fillId="34" borderId="21" xfId="0" applyNumberFormat="1" applyFont="1" applyFill="1" applyBorder="1" applyAlignment="1">
      <alignment horizontal="center" vertical="center"/>
    </xf>
    <xf numFmtId="0" fontId="83" fillId="34" borderId="21" xfId="0" applyFont="1" applyFill="1" applyBorder="1" applyAlignment="1">
      <alignment/>
    </xf>
    <xf numFmtId="2" fontId="83" fillId="34" borderId="21" xfId="0" applyNumberFormat="1" applyFont="1" applyFill="1" applyBorder="1" applyAlignment="1">
      <alignment horizontal="center"/>
    </xf>
    <xf numFmtId="0" fontId="83" fillId="34" borderId="21" xfId="53" applyFont="1" applyFill="1" applyBorder="1" applyAlignment="1">
      <alignment horizontal="center" vertical="center"/>
      <protection/>
    </xf>
    <xf numFmtId="0" fontId="83" fillId="34" borderId="21" xfId="53" applyFont="1" applyFill="1" applyBorder="1">
      <alignment/>
      <protection/>
    </xf>
    <xf numFmtId="0" fontId="83" fillId="34" borderId="21" xfId="53" applyFont="1" applyFill="1" applyBorder="1" applyAlignment="1">
      <alignment horizontal="center" vertical="center" wrapText="1"/>
      <protection/>
    </xf>
    <xf numFmtId="0" fontId="87" fillId="34" borderId="21" xfId="53" applyFont="1" applyFill="1" applyBorder="1" applyAlignment="1">
      <alignment horizontal="center"/>
      <protection/>
    </xf>
    <xf numFmtId="0" fontId="0" fillId="34" borderId="21" xfId="53" applyFill="1" applyBorder="1" applyAlignment="1">
      <alignment horizontal="center" vertical="top" wrapText="1"/>
      <protection/>
    </xf>
    <xf numFmtId="2" fontId="83" fillId="34" borderId="21" xfId="53" applyNumberFormat="1" applyFont="1" applyFill="1" applyBorder="1" applyAlignment="1">
      <alignment horizontal="center"/>
      <protection/>
    </xf>
    <xf numFmtId="0" fontId="92" fillId="34" borderId="21" xfId="53" applyFont="1" applyFill="1" applyBorder="1" applyAlignment="1">
      <alignment horizontal="center"/>
      <protection/>
    </xf>
    <xf numFmtId="0" fontId="83" fillId="34" borderId="25" xfId="53" applyFont="1" applyFill="1" applyBorder="1" applyAlignment="1">
      <alignment horizontal="center"/>
      <protection/>
    </xf>
    <xf numFmtId="0" fontId="83" fillId="34" borderId="25" xfId="53" applyFont="1" applyFill="1" applyBorder="1" applyAlignment="1">
      <alignment wrapText="1"/>
      <protection/>
    </xf>
    <xf numFmtId="0" fontId="83" fillId="34" borderId="25" xfId="53" applyFont="1" applyFill="1" applyBorder="1">
      <alignment/>
      <protection/>
    </xf>
    <xf numFmtId="0" fontId="83" fillId="34" borderId="10" xfId="53" applyFont="1" applyFill="1" applyBorder="1">
      <alignment/>
      <protection/>
    </xf>
    <xf numFmtId="0" fontId="83" fillId="34" borderId="24" xfId="53" applyFont="1" applyFill="1" applyBorder="1">
      <alignment/>
      <protection/>
    </xf>
    <xf numFmtId="2" fontId="84" fillId="0" borderId="0" xfId="53" applyNumberFormat="1" applyFont="1">
      <alignment/>
      <protection/>
    </xf>
    <xf numFmtId="0" fontId="93" fillId="34" borderId="11" xfId="53" applyFont="1" applyFill="1" applyBorder="1" applyAlignment="1">
      <alignment horizontal="center" vertical="center" wrapText="1"/>
      <protection/>
    </xf>
    <xf numFmtId="0" fontId="93" fillId="34" borderId="11" xfId="53" applyFont="1" applyFill="1" applyBorder="1" applyAlignment="1">
      <alignment horizontal="left" vertical="center" wrapText="1"/>
      <protection/>
    </xf>
    <xf numFmtId="0" fontId="88" fillId="34" borderId="11" xfId="53" applyFont="1" applyFill="1" applyBorder="1" applyAlignment="1">
      <alignment horizontal="center" vertical="center" wrapText="1"/>
      <protection/>
    </xf>
    <xf numFmtId="0" fontId="89" fillId="34" borderId="11" xfId="53" applyFont="1" applyFill="1" applyBorder="1" applyAlignment="1">
      <alignment horizontal="right" vertical="center" wrapText="1"/>
      <protection/>
    </xf>
    <xf numFmtId="2" fontId="0" fillId="0" borderId="0" xfId="53" applyNumberFormat="1">
      <alignment/>
      <protection/>
    </xf>
    <xf numFmtId="0" fontId="88" fillId="0" borderId="0" xfId="53" applyFont="1" applyBorder="1" applyAlignment="1">
      <alignment horizontal="left"/>
      <protection/>
    </xf>
    <xf numFmtId="0" fontId="88" fillId="34" borderId="0" xfId="53" applyFont="1" applyFill="1" applyAlignment="1">
      <alignment horizontal="left" wrapText="1"/>
      <protection/>
    </xf>
    <xf numFmtId="0" fontId="88" fillId="34" borderId="0" xfId="53" applyFont="1" applyFill="1" applyBorder="1" applyAlignment="1">
      <alignment horizontal="left" wrapText="1"/>
      <protection/>
    </xf>
    <xf numFmtId="0" fontId="88" fillId="0" borderId="0" xfId="53" applyFont="1" applyBorder="1" applyAlignment="1">
      <alignment horizontal="left" wrapText="1"/>
      <protection/>
    </xf>
    <xf numFmtId="0" fontId="88" fillId="0" borderId="0" xfId="53" applyFont="1" applyAlignment="1">
      <alignment horizontal="left" wrapText="1"/>
      <protection/>
    </xf>
    <xf numFmtId="0" fontId="88" fillId="0" borderId="11" xfId="53" applyFont="1" applyBorder="1" applyAlignment="1">
      <alignment horizontal="left" vertical="center" wrapText="1"/>
      <protection/>
    </xf>
    <xf numFmtId="0" fontId="83" fillId="0" borderId="0" xfId="53" applyFont="1" applyBorder="1" applyAlignment="1">
      <alignment horizontal="center"/>
      <protection/>
    </xf>
    <xf numFmtId="0" fontId="88" fillId="0" borderId="0" xfId="53" applyFont="1" applyBorder="1" applyAlignment="1">
      <alignment horizontal="left" vertical="center" wrapText="1"/>
      <protection/>
    </xf>
    <xf numFmtId="0" fontId="83" fillId="0" borderId="0" xfId="53" applyFont="1" applyBorder="1" applyAlignment="1">
      <alignment horizontal="center" vertical="center" wrapText="1"/>
      <protection/>
    </xf>
    <xf numFmtId="0" fontId="5" fillId="0" borderId="0" xfId="0" applyFont="1" applyAlignment="1">
      <alignment/>
    </xf>
    <xf numFmtId="0" fontId="83" fillId="0" borderId="21" xfId="0" applyFont="1" applyBorder="1" applyAlignment="1">
      <alignment horizontal="center"/>
    </xf>
    <xf numFmtId="4" fontId="83" fillId="0" borderId="21" xfId="0" applyNumberFormat="1" applyFont="1" applyBorder="1" applyAlignment="1">
      <alignment/>
    </xf>
    <xf numFmtId="49" fontId="83" fillId="0" borderId="21" xfId="0" applyNumberFormat="1" applyFont="1" applyBorder="1" applyAlignment="1">
      <alignment horizontal="center"/>
    </xf>
    <xf numFmtId="0" fontId="83" fillId="0" borderId="25" xfId="0" applyFont="1" applyBorder="1" applyAlignment="1">
      <alignment horizontal="left" wrapText="1"/>
    </xf>
    <xf numFmtId="0" fontId="83" fillId="0" borderId="10" xfId="0" applyFont="1" applyBorder="1" applyAlignment="1">
      <alignment horizontal="left" wrapText="1"/>
    </xf>
    <xf numFmtId="0" fontId="83" fillId="0" borderId="24" xfId="0" applyFont="1" applyBorder="1" applyAlignment="1">
      <alignment horizontal="right" wrapText="1"/>
    </xf>
    <xf numFmtId="0" fontId="84" fillId="0" borderId="0" xfId="0" applyFont="1" applyAlignment="1">
      <alignment/>
    </xf>
    <xf numFmtId="4" fontId="0" fillId="0" borderId="0" xfId="0" applyNumberFormat="1" applyAlignment="1">
      <alignment/>
    </xf>
    <xf numFmtId="0" fontId="0" fillId="34" borderId="0" xfId="0" applyFill="1" applyAlignment="1">
      <alignment/>
    </xf>
    <xf numFmtId="2" fontId="27" fillId="0" borderId="21" xfId="54" applyNumberFormat="1" applyFont="1" applyBorder="1" applyAlignment="1">
      <alignment horizontal="left" vertical="center"/>
      <protection/>
    </xf>
    <xf numFmtId="2" fontId="27" fillId="0" borderId="25" xfId="54" applyNumberFormat="1" applyFont="1" applyBorder="1" applyAlignment="1">
      <alignment horizontal="left" vertical="center"/>
      <protection/>
    </xf>
    <xf numFmtId="2" fontId="84" fillId="0" borderId="22" xfId="0" applyNumberFormat="1" applyFont="1" applyBorder="1" applyAlignment="1">
      <alignment/>
    </xf>
    <xf numFmtId="2" fontId="84" fillId="0" borderId="0" xfId="0" applyNumberFormat="1" applyFont="1" applyAlignment="1">
      <alignment/>
    </xf>
    <xf numFmtId="0" fontId="83" fillId="0" borderId="28" xfId="53" applyFont="1" applyBorder="1" applyAlignment="1">
      <alignment horizontal="left" vertical="top" wrapText="1"/>
      <protection/>
    </xf>
    <xf numFmtId="0" fontId="83" fillId="34" borderId="21"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83" fillId="34" borderId="25"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87" fillId="34" borderId="25" xfId="53" applyFont="1" applyFill="1" applyBorder="1" applyAlignment="1">
      <alignment horizontal="center"/>
      <protection/>
    </xf>
    <xf numFmtId="0" fontId="0" fillId="34" borderId="21" xfId="53" applyFill="1" applyBorder="1" applyAlignment="1">
      <alignment horizontal="center"/>
      <protection/>
    </xf>
    <xf numFmtId="0" fontId="83" fillId="34" borderId="24" xfId="53" applyFont="1" applyFill="1" applyBorder="1" applyAlignment="1">
      <alignment horizontal="left" vertical="top" wrapText="1"/>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1" xfId="53" applyFont="1" applyBorder="1" applyAlignment="1">
      <alignment horizontal="right"/>
      <protection/>
    </xf>
    <xf numFmtId="0" fontId="82" fillId="0" borderId="11" xfId="53" applyFont="1" applyBorder="1" applyAlignment="1">
      <alignment horizontal="center"/>
      <protection/>
    </xf>
    <xf numFmtId="0" fontId="83" fillId="0" borderId="25" xfId="53" applyFont="1" applyBorder="1" applyAlignment="1">
      <alignment horizontal="left" vertical="top" wrapText="1"/>
      <protection/>
    </xf>
    <xf numFmtId="0" fontId="83" fillId="0" borderId="24" xfId="53" applyFont="1" applyBorder="1" applyAlignment="1">
      <alignment horizontal="left" vertical="top" wrapText="1"/>
      <protection/>
    </xf>
    <xf numFmtId="2" fontId="85" fillId="0" borderId="0" xfId="53" applyNumberFormat="1" applyFont="1" applyBorder="1" applyAlignment="1">
      <alignment horizontal="center"/>
      <protection/>
    </xf>
    <xf numFmtId="2" fontId="84" fillId="34" borderId="0" xfId="0" applyNumberFormat="1" applyFont="1" applyFill="1" applyAlignment="1">
      <alignment/>
    </xf>
    <xf numFmtId="4" fontId="85" fillId="0" borderId="0" xfId="53" applyNumberFormat="1" applyFont="1">
      <alignment/>
      <protection/>
    </xf>
    <xf numFmtId="2" fontId="84" fillId="34" borderId="0" xfId="53" applyNumberFormat="1" applyFont="1" applyFill="1">
      <alignment/>
      <protection/>
    </xf>
    <xf numFmtId="0" fontId="83" fillId="0" borderId="2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2" fillId="0" borderId="11" xfId="53" applyFont="1" applyBorder="1" applyAlignment="1">
      <alignment horizontal="center"/>
      <protection/>
    </xf>
    <xf numFmtId="0" fontId="83" fillId="0" borderId="21" xfId="53" applyFont="1" applyBorder="1" applyAlignment="1">
      <alignment horizontal="right"/>
      <protection/>
    </xf>
    <xf numFmtId="4" fontId="85" fillId="0" borderId="22" xfId="53" applyNumberFormat="1" applyFont="1" applyFill="1" applyBorder="1" applyAlignment="1">
      <alignment horizontal="center"/>
      <protection/>
    </xf>
    <xf numFmtId="0" fontId="84" fillId="0" borderId="22" xfId="0" applyFont="1" applyBorder="1" applyAlignment="1">
      <alignment/>
    </xf>
    <xf numFmtId="4" fontId="93" fillId="0" borderId="0" xfId="53" applyNumberFormat="1" applyFont="1" applyBorder="1" applyAlignment="1">
      <alignment horizontal="left" vertical="center" wrapText="1"/>
      <protection/>
    </xf>
    <xf numFmtId="0" fontId="83" fillId="34" borderId="21"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92" fillId="34" borderId="25" xfId="53" applyFont="1" applyFill="1" applyBorder="1" applyAlignment="1">
      <alignment horizontal="center"/>
      <protection/>
    </xf>
    <xf numFmtId="4" fontId="84" fillId="0" borderId="0" xfId="53" applyNumberFormat="1" applyFont="1" applyAlignment="1">
      <alignment horizontal="left"/>
      <protection/>
    </xf>
    <xf numFmtId="4" fontId="85" fillId="0" borderId="22" xfId="0" applyNumberFormat="1" applyFont="1" applyBorder="1" applyAlignment="1">
      <alignment/>
    </xf>
    <xf numFmtId="4" fontId="84" fillId="0" borderId="0" xfId="0" applyNumberFormat="1" applyFont="1" applyAlignment="1">
      <alignment/>
    </xf>
    <xf numFmtId="4" fontId="84" fillId="0" borderId="0" xfId="53" applyNumberFormat="1" applyFont="1" applyAlignment="1">
      <alignment/>
      <protection/>
    </xf>
    <xf numFmtId="0" fontId="2" fillId="0" borderId="29"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30" xfId="0" applyFont="1" applyBorder="1" applyAlignment="1">
      <alignment horizontal="left" vertical="center" wrapText="1" indent="1"/>
    </xf>
    <xf numFmtId="49"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0" borderId="31" xfId="0" applyNumberFormat="1" applyFont="1" applyBorder="1" applyAlignment="1">
      <alignment horizontal="center"/>
    </xf>
    <xf numFmtId="0" fontId="2" fillId="0" borderId="10" xfId="0" applyFont="1" applyBorder="1" applyAlignment="1">
      <alignment horizontal="left" vertical="top" wrapText="1" indent="2"/>
    </xf>
    <xf numFmtId="0" fontId="2" fillId="0" borderId="32" xfId="0" applyFont="1" applyBorder="1" applyAlignment="1">
      <alignment horizontal="left" vertical="top" wrapText="1" indent="2"/>
    </xf>
    <xf numFmtId="49" fontId="2" fillId="0" borderId="33" xfId="0" applyNumberFormat="1" applyFont="1" applyBorder="1" applyAlignment="1">
      <alignment horizontal="center"/>
    </xf>
    <xf numFmtId="4" fontId="0" fillId="0" borderId="21" xfId="0" applyNumberFormat="1" applyFont="1" applyBorder="1" applyAlignment="1">
      <alignment horizontal="center"/>
    </xf>
    <xf numFmtId="4" fontId="0" fillId="0" borderId="30" xfId="0" applyNumberFormat="1" applyFont="1" applyBorder="1" applyAlignment="1">
      <alignment horizontal="center"/>
    </xf>
    <xf numFmtId="4" fontId="0" fillId="0" borderId="23" xfId="0" applyNumberFormat="1" applyFont="1" applyBorder="1" applyAlignment="1">
      <alignment horizontal="center"/>
    </xf>
    <xf numFmtId="4" fontId="0" fillId="0" borderId="29" xfId="0" applyNumberFormat="1" applyFont="1" applyBorder="1" applyAlignment="1">
      <alignment horizontal="center"/>
    </xf>
    <xf numFmtId="4" fontId="0" fillId="0" borderId="34" xfId="0" applyNumberFormat="1" applyFont="1" applyBorder="1" applyAlignment="1">
      <alignment horizontal="center"/>
    </xf>
    <xf numFmtId="4" fontId="0" fillId="0" borderId="11" xfId="0" applyNumberFormat="1" applyFont="1" applyBorder="1" applyAlignment="1">
      <alignment horizontal="center"/>
    </xf>
    <xf numFmtId="4" fontId="0" fillId="0" borderId="35" xfId="0" applyNumberFormat="1" applyFont="1" applyBorder="1" applyAlignment="1">
      <alignment horizontal="center"/>
    </xf>
    <xf numFmtId="4" fontId="2" fillId="0" borderId="30" xfId="0" applyNumberFormat="1" applyFont="1" applyBorder="1" applyAlignment="1">
      <alignment horizontal="center"/>
    </xf>
    <xf numFmtId="4" fontId="2" fillId="0" borderId="23" xfId="0" applyNumberFormat="1" applyFont="1" applyBorder="1" applyAlignment="1">
      <alignment horizontal="center"/>
    </xf>
    <xf numFmtId="4" fontId="2" fillId="0" borderId="36" xfId="0" applyNumberFormat="1" applyFont="1" applyBorder="1" applyAlignment="1">
      <alignment horizontal="center"/>
    </xf>
    <xf numFmtId="4" fontId="2" fillId="0" borderId="34" xfId="0" applyNumberFormat="1" applyFont="1" applyBorder="1" applyAlignment="1">
      <alignment horizontal="center"/>
    </xf>
    <xf numFmtId="4" fontId="2" fillId="0" borderId="11" xfId="0" applyNumberFormat="1" applyFont="1" applyBorder="1" applyAlignment="1">
      <alignment horizontal="center"/>
    </xf>
    <xf numFmtId="4" fontId="2" fillId="0" borderId="37" xfId="0" applyNumberFormat="1" applyFont="1" applyBorder="1" applyAlignment="1">
      <alignment horizontal="center"/>
    </xf>
    <xf numFmtId="0" fontId="2" fillId="0" borderId="11" xfId="0" applyFont="1" applyBorder="1" applyAlignment="1">
      <alignment horizontal="left" vertical="center" indent="2"/>
    </xf>
    <xf numFmtId="0" fontId="2" fillId="0" borderId="37" xfId="0" applyFont="1" applyBorder="1" applyAlignment="1">
      <alignment horizontal="left" vertical="center" indent="2"/>
    </xf>
    <xf numFmtId="49" fontId="2" fillId="0" borderId="30" xfId="0" applyNumberFormat="1" applyFont="1" applyBorder="1" applyAlignment="1">
      <alignment horizontal="center"/>
    </xf>
    <xf numFmtId="49" fontId="2" fillId="0" borderId="23" xfId="0" applyNumberFormat="1" applyFont="1" applyBorder="1" applyAlignment="1">
      <alignment horizontal="center"/>
    </xf>
    <xf numFmtId="49" fontId="2" fillId="0" borderId="29" xfId="0" applyNumberFormat="1" applyFont="1" applyBorder="1" applyAlignment="1">
      <alignment horizontal="center"/>
    </xf>
    <xf numFmtId="49" fontId="2" fillId="0" borderId="34" xfId="0" applyNumberFormat="1" applyFont="1" applyBorder="1" applyAlignment="1">
      <alignment horizontal="center"/>
    </xf>
    <xf numFmtId="49" fontId="2" fillId="0" borderId="11" xfId="0" applyNumberFormat="1" applyFont="1" applyBorder="1" applyAlignment="1">
      <alignment horizontal="center"/>
    </xf>
    <xf numFmtId="49" fontId="2" fillId="0" borderId="35"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37" xfId="0" applyFont="1" applyBorder="1" applyAlignment="1">
      <alignment horizontal="left" vertical="center" wrapText="1" indent="2"/>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0" xfId="0" applyNumberFormat="1" applyFont="1" applyBorder="1" applyAlignment="1">
      <alignment horizontal="center"/>
    </xf>
    <xf numFmtId="49" fontId="2" fillId="0" borderId="40" xfId="0" applyNumberFormat="1" applyFont="1" applyBorder="1" applyAlignment="1">
      <alignment horizontal="center"/>
    </xf>
    <xf numFmtId="0" fontId="2" fillId="0" borderId="29"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41" xfId="0" applyFont="1" applyBorder="1" applyAlignment="1">
      <alignment horizontal="left" vertical="center" wrapText="1" indent="2"/>
    </xf>
    <xf numFmtId="49" fontId="2" fillId="0" borderId="42" xfId="0" applyNumberFormat="1" applyFont="1" applyBorder="1" applyAlignment="1">
      <alignment horizontal="center"/>
    </xf>
    <xf numFmtId="49" fontId="2" fillId="0" borderId="10" xfId="0" applyNumberFormat="1" applyFont="1" applyBorder="1" applyAlignment="1">
      <alignment horizontal="center"/>
    </xf>
    <xf numFmtId="49" fontId="2" fillId="0" borderId="24" xfId="0" applyNumberFormat="1" applyFont="1" applyBorder="1" applyAlignment="1">
      <alignment horizontal="center"/>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13" fillId="0" borderId="0" xfId="0" applyFont="1" applyAlignment="1">
      <alignment horizontal="justify" vertical="justify" wrapText="1"/>
    </xf>
    <xf numFmtId="0" fontId="1" fillId="0" borderId="0" xfId="0" applyFont="1" applyAlignment="1">
      <alignment horizontal="justify" vertical="justify" wrapText="1"/>
    </xf>
    <xf numFmtId="49" fontId="2" fillId="0" borderId="43" xfId="0" applyNumberFormat="1" applyFont="1" applyBorder="1" applyAlignment="1">
      <alignment horizontal="center"/>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2" fillId="0" borderId="30" xfId="0" applyFont="1" applyBorder="1" applyAlignment="1">
      <alignment horizontal="left" vertical="center" wrapText="1" indent="2"/>
    </xf>
    <xf numFmtId="0" fontId="2" fillId="0" borderId="24"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31" xfId="0" applyFont="1" applyBorder="1" applyAlignment="1">
      <alignment horizontal="left" vertical="center" wrapText="1" indent="2"/>
    </xf>
    <xf numFmtId="0" fontId="10" fillId="0" borderId="29" xfId="0" applyFont="1" applyBorder="1" applyAlignment="1">
      <alignment vertical="center" wrapText="1"/>
    </xf>
    <xf numFmtId="0" fontId="10" fillId="0" borderId="28" xfId="0" applyFont="1" applyBorder="1" applyAlignment="1">
      <alignment vertical="center" wrapText="1"/>
    </xf>
    <xf numFmtId="0" fontId="10" fillId="0" borderId="30" xfId="0" applyFont="1" applyBorder="1" applyAlignment="1">
      <alignment vertical="center" wrapText="1"/>
    </xf>
    <xf numFmtId="49" fontId="10" fillId="0" borderId="21" xfId="0" applyNumberFormat="1" applyFont="1" applyBorder="1" applyAlignment="1">
      <alignment horizontal="center"/>
    </xf>
    <xf numFmtId="49" fontId="10" fillId="0" borderId="33" xfId="0" applyNumberFormat="1" applyFont="1" applyBorder="1" applyAlignment="1">
      <alignment horizontal="center"/>
    </xf>
    <xf numFmtId="0" fontId="2" fillId="0" borderId="29" xfId="0" applyFont="1" applyBorder="1" applyAlignment="1">
      <alignment vertical="center" wrapText="1"/>
    </xf>
    <xf numFmtId="0" fontId="2" fillId="0" borderId="28" xfId="0" applyFont="1" applyBorder="1" applyAlignment="1">
      <alignment vertical="center" wrapText="1"/>
    </xf>
    <xf numFmtId="0" fontId="2" fillId="0" borderId="30" xfId="0" applyFont="1" applyBorder="1" applyAlignment="1">
      <alignment vertical="center" wrapText="1"/>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10" xfId="0" applyFont="1" applyBorder="1" applyAlignment="1">
      <alignment horizontal="left" vertical="center" indent="2" shrinkToFit="1"/>
    </xf>
    <xf numFmtId="0" fontId="2" fillId="0" borderId="32" xfId="0" applyFont="1" applyBorder="1" applyAlignment="1">
      <alignment horizontal="left" vertical="center" indent="2" shrinkToFit="1"/>
    </xf>
    <xf numFmtId="0" fontId="2" fillId="0" borderId="10" xfId="0" applyFont="1" applyBorder="1" applyAlignment="1">
      <alignment horizontal="left" wrapText="1" indent="1"/>
    </xf>
    <xf numFmtId="0" fontId="2" fillId="0" borderId="32" xfId="0" applyFont="1" applyBorder="1" applyAlignment="1">
      <alignment horizontal="left" wrapText="1" indent="1"/>
    </xf>
    <xf numFmtId="0" fontId="2" fillId="0" borderId="10" xfId="0" applyFont="1" applyBorder="1" applyAlignment="1">
      <alignment horizontal="left" vertical="center" wrapText="1" indent="2"/>
    </xf>
    <xf numFmtId="0" fontId="2" fillId="0" borderId="32" xfId="0" applyFont="1" applyBorder="1" applyAlignment="1">
      <alignment horizontal="left" vertical="center" wrapText="1" indent="2"/>
    </xf>
    <xf numFmtId="49" fontId="2" fillId="0" borderId="25" xfId="0" applyNumberFormat="1" applyFont="1" applyBorder="1" applyAlignment="1">
      <alignment horizontal="center"/>
    </xf>
    <xf numFmtId="0" fontId="2" fillId="0" borderId="40"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0" fontId="2" fillId="0" borderId="29" xfId="0" applyFont="1" applyBorder="1" applyAlignment="1">
      <alignment horizontal="left" vertical="center" indent="2"/>
    </xf>
    <xf numFmtId="0" fontId="2" fillId="0" borderId="28" xfId="0" applyFont="1" applyBorder="1" applyAlignment="1">
      <alignment horizontal="left" vertical="center" indent="2"/>
    </xf>
    <xf numFmtId="0" fontId="2" fillId="0" borderId="41" xfId="0" applyFont="1" applyBorder="1" applyAlignment="1">
      <alignment horizontal="left" vertical="center" indent="2"/>
    </xf>
    <xf numFmtId="0" fontId="2" fillId="0" borderId="10"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10" xfId="0" applyFont="1" applyBorder="1" applyAlignment="1">
      <alignment vertical="center" wrapText="1"/>
    </xf>
    <xf numFmtId="0" fontId="2" fillId="0" borderId="32" xfId="0" applyFont="1" applyBorder="1" applyAlignment="1">
      <alignment vertical="center" wrapText="1"/>
    </xf>
    <xf numFmtId="4" fontId="0" fillId="0" borderId="25" xfId="0" applyNumberFormat="1" applyFont="1" applyBorder="1" applyAlignment="1">
      <alignment horizontal="center"/>
    </xf>
    <xf numFmtId="4" fontId="0" fillId="0" borderId="10" xfId="0" applyNumberFormat="1" applyFont="1" applyBorder="1" applyAlignment="1">
      <alignment horizontal="center"/>
    </xf>
    <xf numFmtId="4" fontId="0" fillId="0" borderId="24"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32" xfId="0" applyFont="1" applyBorder="1" applyAlignment="1">
      <alignment horizontal="left" vertical="center" indent="1" shrinkToFit="1"/>
    </xf>
    <xf numFmtId="4" fontId="2" fillId="0" borderId="25" xfId="0" applyNumberFormat="1" applyFont="1" applyBorder="1" applyAlignment="1">
      <alignment horizontal="center"/>
    </xf>
    <xf numFmtId="4" fontId="2" fillId="0" borderId="10" xfId="0" applyNumberFormat="1" applyFont="1" applyBorder="1" applyAlignment="1">
      <alignment horizontal="center"/>
    </xf>
    <xf numFmtId="4" fontId="2" fillId="0" borderId="32" xfId="0" applyNumberFormat="1" applyFont="1" applyBorder="1" applyAlignment="1">
      <alignment horizontal="center"/>
    </xf>
    <xf numFmtId="4" fontId="2" fillId="0" borderId="44" xfId="0" applyNumberFormat="1" applyFont="1" applyBorder="1" applyAlignment="1">
      <alignment horizontal="center"/>
    </xf>
    <xf numFmtId="4" fontId="2" fillId="0" borderId="45" xfId="0" applyNumberFormat="1" applyFont="1" applyBorder="1" applyAlignment="1">
      <alignment horizontal="center"/>
    </xf>
    <xf numFmtId="49" fontId="2" fillId="0" borderId="44" xfId="0" applyNumberFormat="1" applyFont="1" applyBorder="1" applyAlignment="1">
      <alignment horizontal="center"/>
    </xf>
    <xf numFmtId="0" fontId="10" fillId="0" borderId="24" xfId="0" applyFont="1" applyBorder="1" applyAlignment="1">
      <alignment vertical="center"/>
    </xf>
    <xf numFmtId="0" fontId="10" fillId="0" borderId="21" xfId="0" applyFont="1" applyBorder="1" applyAlignment="1">
      <alignment vertical="center"/>
    </xf>
    <xf numFmtId="0" fontId="10" fillId="0" borderId="25"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2" fillId="0" borderId="30" xfId="0" applyFont="1" applyBorder="1" applyAlignment="1">
      <alignment horizontal="right"/>
    </xf>
    <xf numFmtId="0" fontId="2" fillId="0" borderId="23" xfId="0" applyFont="1" applyBorder="1" applyAlignment="1">
      <alignment horizontal="right"/>
    </xf>
    <xf numFmtId="49" fontId="2" fillId="0" borderId="10" xfId="0" applyNumberFormat="1" applyFont="1" applyBorder="1" applyAlignment="1">
      <alignment/>
    </xf>
    <xf numFmtId="49" fontId="2" fillId="0" borderId="46" xfId="0" applyNumberFormat="1" applyFont="1" applyBorder="1" applyAlignment="1">
      <alignment horizontal="center"/>
    </xf>
    <xf numFmtId="49" fontId="10" fillId="0" borderId="33" xfId="0" applyNumberFormat="1" applyFont="1" applyBorder="1" applyAlignment="1">
      <alignment horizontal="center"/>
    </xf>
    <xf numFmtId="49" fontId="10" fillId="0" borderId="21" xfId="0" applyNumberFormat="1" applyFont="1" applyBorder="1"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0" fontId="0" fillId="0" borderId="0" xfId="0" applyAlignment="1">
      <alignment/>
    </xf>
    <xf numFmtId="0" fontId="2" fillId="0" borderId="21" xfId="0" applyFont="1" applyBorder="1" applyAlignment="1">
      <alignment horizontal="center" vertical="center" wrapText="1"/>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1" xfId="0" applyFont="1" applyBorder="1" applyAlignment="1">
      <alignment horizontal="center" vertical="center"/>
    </xf>
    <xf numFmtId="0" fontId="2" fillId="0" borderId="28" xfId="0" applyFont="1" applyBorder="1" applyAlignment="1">
      <alignment horizontal="center"/>
    </xf>
    <xf numFmtId="0" fontId="2" fillId="0" borderId="30" xfId="0" applyFont="1" applyBorder="1" applyAlignment="1">
      <alignment horizont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23" xfId="0" applyFont="1" applyBorder="1" applyAlignment="1">
      <alignment/>
    </xf>
    <xf numFmtId="0" fontId="2" fillId="0" borderId="29" xfId="0" applyFont="1" applyBorder="1" applyAlignment="1">
      <alignment/>
    </xf>
    <xf numFmtId="0" fontId="2" fillId="0" borderId="24" xfId="0" applyFont="1" applyBorder="1" applyAlignment="1">
      <alignment horizontal="center"/>
    </xf>
    <xf numFmtId="0" fontId="2" fillId="0" borderId="21" xfId="0" applyFont="1" applyBorder="1" applyAlignment="1">
      <alignment horizont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0" fillId="0" borderId="47" xfId="0" applyFont="1" applyFill="1" applyBorder="1" applyAlignment="1">
      <alignment horizontal="right" indent="1"/>
    </xf>
    <xf numFmtId="49" fontId="0" fillId="0" borderId="33" xfId="0" applyNumberFormat="1" applyFont="1" applyBorder="1" applyAlignment="1">
      <alignment horizontal="center"/>
    </xf>
    <xf numFmtId="49" fontId="0" fillId="0" borderId="21" xfId="0" applyNumberFormat="1" applyBorder="1" applyAlignment="1">
      <alignment horizontal="center"/>
    </xf>
    <xf numFmtId="49" fontId="0" fillId="0" borderId="31" xfId="0" applyNumberFormat="1" applyBorder="1" applyAlignment="1">
      <alignment horizontal="center"/>
    </xf>
    <xf numFmtId="49" fontId="0" fillId="0" borderId="11" xfId="0" applyNumberFormat="1" applyBorder="1" applyAlignment="1">
      <alignment/>
    </xf>
    <xf numFmtId="49" fontId="0" fillId="0" borderId="11" xfId="0" applyNumberFormat="1" applyFont="1" applyBorder="1" applyAlignment="1">
      <alignment/>
    </xf>
    <xf numFmtId="49" fontId="5" fillId="0" borderId="11" xfId="0" applyNumberFormat="1" applyFont="1" applyBorder="1" applyAlignment="1">
      <alignment/>
    </xf>
    <xf numFmtId="0" fontId="4" fillId="0" borderId="0" xfId="0" applyFont="1" applyAlignment="1">
      <alignment horizontal="right"/>
    </xf>
    <xf numFmtId="49" fontId="0" fillId="0" borderId="42" xfId="0" applyNumberFormat="1" applyFont="1"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Alignment="1">
      <alignment horizontal="right" indent="1"/>
    </xf>
    <xf numFmtId="0" fontId="0" fillId="0" borderId="47" xfId="0" applyBorder="1" applyAlignment="1">
      <alignment horizontal="right" indent="1"/>
    </xf>
    <xf numFmtId="0" fontId="0" fillId="0" borderId="0" xfId="0" applyFont="1" applyAlignment="1">
      <alignment horizontal="right" indent="1"/>
    </xf>
    <xf numFmtId="0" fontId="0" fillId="0" borderId="47" xfId="0" applyFont="1" applyBorder="1" applyAlignment="1">
      <alignment horizontal="right" indent="1"/>
    </xf>
    <xf numFmtId="0" fontId="0" fillId="0" borderId="0" xfId="0" applyFont="1" applyFill="1" applyBorder="1" applyAlignment="1">
      <alignment horizontal="right" indent="1"/>
    </xf>
    <xf numFmtId="0" fontId="1" fillId="0" borderId="23" xfId="0" applyFont="1" applyBorder="1" applyAlignment="1">
      <alignment horizontal="center" vertical="top"/>
    </xf>
    <xf numFmtId="0" fontId="4" fillId="0" borderId="0" xfId="0" applyFont="1" applyAlignment="1">
      <alignment/>
    </xf>
    <xf numFmtId="0" fontId="5" fillId="0" borderId="21" xfId="0" applyFont="1" applyBorder="1" applyAlignment="1">
      <alignment horizontal="center" vertical="center"/>
    </xf>
    <xf numFmtId="0" fontId="5" fillId="0" borderId="28" xfId="0" applyFont="1" applyBorder="1" applyAlignment="1">
      <alignment horizontal="center" vertical="center"/>
    </xf>
    <xf numFmtId="49" fontId="0" fillId="34" borderId="46" xfId="0" applyNumberFormat="1" applyFont="1" applyFill="1" applyBorder="1" applyAlignment="1">
      <alignment horizontal="center"/>
    </xf>
    <xf numFmtId="49" fontId="0" fillId="34" borderId="44" xfId="0" applyNumberFormat="1" applyFill="1" applyBorder="1" applyAlignment="1">
      <alignment horizontal="center"/>
    </xf>
    <xf numFmtId="49" fontId="0" fillId="34" borderId="45" xfId="0" applyNumberFormat="1" applyFill="1" applyBorder="1" applyAlignment="1">
      <alignment horizontal="center"/>
    </xf>
    <xf numFmtId="0" fontId="0" fillId="0" borderId="0" xfId="0" applyAlignment="1">
      <alignment horizontal="center"/>
    </xf>
    <xf numFmtId="0" fontId="0" fillId="0" borderId="23" xfId="0" applyBorder="1" applyAlignment="1">
      <alignment horizontal="center" vertical="top"/>
    </xf>
    <xf numFmtId="0" fontId="2" fillId="0" borderId="24"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31" xfId="0" applyFont="1" applyBorder="1" applyAlignment="1">
      <alignment horizontal="left" vertical="center" wrapText="1" indent="3"/>
    </xf>
    <xf numFmtId="0" fontId="2" fillId="0" borderId="40"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22" xfId="0" applyFont="1" applyBorder="1" applyAlignment="1">
      <alignment horizontal="left" vertical="center" wrapText="1" indent="2"/>
    </xf>
    <xf numFmtId="0" fontId="2" fillId="0" borderId="24"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10" xfId="0" applyFont="1" applyBorder="1" applyAlignment="1">
      <alignment horizontal="left" vertical="center" indent="2"/>
    </xf>
    <xf numFmtId="0" fontId="2" fillId="0" borderId="32" xfId="0" applyFont="1" applyBorder="1" applyAlignment="1">
      <alignment horizontal="left" vertical="center" indent="2"/>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30"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0" fontId="10" fillId="0" borderId="31" xfId="0" applyFont="1" applyBorder="1" applyAlignment="1">
      <alignment horizontal="left" vertical="center" wrapText="1"/>
    </xf>
    <xf numFmtId="0" fontId="13" fillId="0" borderId="0" xfId="0" applyFont="1" applyBorder="1" applyAlignment="1">
      <alignment vertical="justify"/>
    </xf>
    <xf numFmtId="0" fontId="1" fillId="0" borderId="0" xfId="0" applyFont="1" applyBorder="1" applyAlignment="1">
      <alignment vertical="justify"/>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2" fillId="0" borderId="31" xfId="0" applyFont="1" applyBorder="1" applyAlignment="1">
      <alignment horizontal="left" vertical="center" wrapText="1"/>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 fontId="2" fillId="0" borderId="52" xfId="0" applyNumberFormat="1" applyFont="1" applyBorder="1" applyAlignment="1">
      <alignment horizontal="center"/>
    </xf>
    <xf numFmtId="4" fontId="2" fillId="0" borderId="53" xfId="0" applyNumberFormat="1" applyFont="1" applyBorder="1" applyAlignment="1">
      <alignment horizontal="center"/>
    </xf>
    <xf numFmtId="4" fontId="5" fillId="0" borderId="21" xfId="0" applyNumberFormat="1" applyFont="1" applyBorder="1" applyAlignment="1">
      <alignment horizontal="center"/>
    </xf>
    <xf numFmtId="4" fontId="5" fillId="0" borderId="31" xfId="0" applyNumberFormat="1" applyFont="1" applyBorder="1" applyAlignment="1">
      <alignment horizontal="center"/>
    </xf>
    <xf numFmtId="0" fontId="15" fillId="0" borderId="0" xfId="0" applyFont="1" applyAlignment="1">
      <alignment horizontal="justify" vertical="justify" wrapText="1"/>
    </xf>
    <xf numFmtId="0" fontId="16" fillId="0" borderId="0" xfId="0" applyFont="1" applyAlignment="1">
      <alignment horizontal="justify" vertical="justify" wrapText="1"/>
    </xf>
    <xf numFmtId="4" fontId="5" fillId="0" borderId="28" xfId="0" applyNumberFormat="1" applyFont="1" applyBorder="1" applyAlignment="1">
      <alignment horizontal="center"/>
    </xf>
    <xf numFmtId="4" fontId="5" fillId="0" borderId="41" xfId="0" applyNumberFormat="1" applyFont="1" applyBorder="1" applyAlignment="1">
      <alignment horizontal="center"/>
    </xf>
    <xf numFmtId="49" fontId="17" fillId="0" borderId="28" xfId="0" applyNumberFormat="1" applyFont="1" applyBorder="1" applyAlignment="1">
      <alignment horizontal="center"/>
    </xf>
    <xf numFmtId="0" fontId="17" fillId="0" borderId="30" xfId="0" applyFont="1" applyBorder="1" applyAlignment="1">
      <alignment horizontal="left" wrapText="1" indent="4"/>
    </xf>
    <xf numFmtId="0" fontId="17" fillId="0" borderId="23" xfId="0" applyFont="1" applyBorder="1" applyAlignment="1">
      <alignment horizontal="left" wrapText="1" indent="4"/>
    </xf>
    <xf numFmtId="0" fontId="17" fillId="0" borderId="33" xfId="0" applyFont="1" applyBorder="1" applyAlignment="1">
      <alignment horizontal="center"/>
    </xf>
    <xf numFmtId="0" fontId="17" fillId="0" borderId="21" xfId="0" applyFont="1" applyBorder="1" applyAlignment="1">
      <alignment horizontal="center"/>
    </xf>
    <xf numFmtId="49" fontId="5" fillId="0" borderId="25" xfId="0" applyNumberFormat="1" applyFont="1" applyBorder="1" applyAlignment="1">
      <alignment horizontal="center" shrinkToFit="1"/>
    </xf>
    <xf numFmtId="49" fontId="5" fillId="0" borderId="10" xfId="0" applyNumberFormat="1" applyFont="1" applyBorder="1" applyAlignment="1">
      <alignment horizontal="center" shrinkToFit="1"/>
    </xf>
    <xf numFmtId="49" fontId="5" fillId="0" borderId="24" xfId="0" applyNumberFormat="1" applyFont="1" applyBorder="1" applyAlignment="1">
      <alignment horizontal="center" shrinkToFit="1"/>
    </xf>
    <xf numFmtId="4" fontId="5" fillId="0" borderId="27" xfId="0" applyNumberFormat="1" applyFont="1" applyBorder="1" applyAlignment="1">
      <alignment horizontal="center"/>
    </xf>
    <xf numFmtId="4" fontId="5" fillId="0" borderId="54" xfId="0" applyNumberFormat="1" applyFont="1" applyBorder="1" applyAlignment="1">
      <alignment horizontal="center"/>
    </xf>
    <xf numFmtId="0" fontId="17" fillId="0" borderId="55" xfId="0" applyFont="1" applyBorder="1" applyAlignment="1">
      <alignment horizontal="center"/>
    </xf>
    <xf numFmtId="0" fontId="17" fillId="0" borderId="28" xfId="0" applyFont="1" applyBorder="1" applyAlignment="1">
      <alignment horizontal="center"/>
    </xf>
    <xf numFmtId="49" fontId="17" fillId="0" borderId="26" xfId="0" applyNumberFormat="1" applyFont="1" applyBorder="1" applyAlignment="1">
      <alignment horizontal="center"/>
    </xf>
    <xf numFmtId="0" fontId="17" fillId="0" borderId="34" xfId="0" applyFont="1" applyBorder="1" applyAlignment="1">
      <alignment horizontal="left" wrapText="1" indent="2"/>
    </xf>
    <xf numFmtId="0" fontId="17" fillId="0" borderId="11" xfId="0" applyFont="1" applyBorder="1" applyAlignment="1">
      <alignment horizontal="left" wrapText="1" indent="2"/>
    </xf>
    <xf numFmtId="0" fontId="17" fillId="0" borderId="56" xfId="0" applyFont="1" applyBorder="1" applyAlignment="1">
      <alignment horizontal="center"/>
    </xf>
    <xf numFmtId="0" fontId="17" fillId="0" borderId="27" xfId="0" applyFont="1" applyBorder="1" applyAlignment="1">
      <alignment horizontal="center"/>
    </xf>
    <xf numFmtId="49" fontId="5" fillId="0" borderId="34" xfId="0" applyNumberFormat="1" applyFont="1" applyBorder="1" applyAlignment="1">
      <alignment horizontal="center" shrinkToFit="1"/>
    </xf>
    <xf numFmtId="49" fontId="5" fillId="0" borderId="11" xfId="0" applyNumberFormat="1" applyFont="1" applyBorder="1" applyAlignment="1">
      <alignment horizontal="center" shrinkToFit="1"/>
    </xf>
    <xf numFmtId="49" fontId="5" fillId="0" borderId="35" xfId="0" applyNumberFormat="1" applyFont="1" applyBorder="1" applyAlignment="1">
      <alignment horizontal="center" shrinkToFit="1"/>
    </xf>
    <xf numFmtId="49" fontId="17" fillId="0" borderId="25"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24" xfId="0" applyNumberFormat="1" applyFont="1" applyBorder="1" applyAlignment="1">
      <alignment horizontal="center" shrinkToFit="1"/>
    </xf>
    <xf numFmtId="49" fontId="17" fillId="0" borderId="57" xfId="0" applyNumberFormat="1" applyFont="1" applyBorder="1" applyAlignment="1">
      <alignment horizontal="center" shrinkToFit="1"/>
    </xf>
    <xf numFmtId="49" fontId="17" fillId="0" borderId="49" xfId="0" applyNumberFormat="1" applyFont="1" applyBorder="1" applyAlignment="1">
      <alignment horizontal="center" shrinkToFit="1"/>
    </xf>
    <xf numFmtId="49" fontId="17" fillId="0" borderId="58" xfId="0" applyNumberFormat="1" applyFont="1" applyBorder="1" applyAlignment="1">
      <alignment horizontal="center" shrinkToFit="1"/>
    </xf>
    <xf numFmtId="0" fontId="17" fillId="0" borderId="30" xfId="0" applyFont="1" applyBorder="1" applyAlignment="1">
      <alignment horizontal="left" wrapText="1" indent="2"/>
    </xf>
    <xf numFmtId="0" fontId="17" fillId="0" borderId="23" xfId="0" applyFont="1" applyBorder="1" applyAlignment="1">
      <alignment horizontal="left" wrapText="1" indent="2"/>
    </xf>
    <xf numFmtId="49" fontId="5" fillId="0" borderId="30" xfId="0" applyNumberFormat="1" applyFont="1" applyBorder="1" applyAlignment="1">
      <alignment horizontal="center" shrinkToFit="1"/>
    </xf>
    <xf numFmtId="49" fontId="5" fillId="0" borderId="23" xfId="0" applyNumberFormat="1" applyFont="1" applyBorder="1" applyAlignment="1">
      <alignment horizontal="center" shrinkToFit="1"/>
    </xf>
    <xf numFmtId="49" fontId="5" fillId="0" borderId="29" xfId="0" applyNumberFormat="1" applyFont="1" applyBorder="1" applyAlignment="1">
      <alignment horizontal="center" shrinkToFit="1"/>
    </xf>
    <xf numFmtId="49" fontId="5" fillId="0" borderId="59" xfId="0" applyNumberFormat="1" applyFont="1" applyBorder="1" applyAlignment="1">
      <alignment horizontal="center" shrinkToFit="1"/>
    </xf>
    <xf numFmtId="49" fontId="5" fillId="0" borderId="60" xfId="0" applyNumberFormat="1" applyFont="1" applyBorder="1" applyAlignment="1">
      <alignment horizontal="center" shrinkToFit="1"/>
    </xf>
    <xf numFmtId="49" fontId="5" fillId="0" borderId="61" xfId="0" applyNumberFormat="1" applyFont="1" applyBorder="1" applyAlignment="1">
      <alignment horizontal="center" shrinkToFit="1"/>
    </xf>
    <xf numFmtId="49" fontId="5" fillId="0" borderId="62" xfId="0" applyNumberFormat="1" applyFont="1" applyBorder="1" applyAlignment="1">
      <alignment horizontal="center" shrinkToFit="1"/>
    </xf>
    <xf numFmtId="49" fontId="5" fillId="0" borderId="63" xfId="0" applyNumberFormat="1" applyFont="1" applyBorder="1" applyAlignment="1">
      <alignment horizontal="center" shrinkToFit="1"/>
    </xf>
    <xf numFmtId="49" fontId="5" fillId="0" borderId="64" xfId="0" applyNumberFormat="1" applyFont="1" applyBorder="1" applyAlignment="1">
      <alignment horizontal="center" shrinkToFit="1"/>
    </xf>
    <xf numFmtId="49" fontId="0" fillId="0" borderId="0" xfId="0" applyNumberFormat="1" applyFont="1" applyAlignment="1">
      <alignment horizontal="center"/>
    </xf>
    <xf numFmtId="4" fontId="17" fillId="0" borderId="52" xfId="0" applyNumberFormat="1" applyFont="1" applyBorder="1" applyAlignment="1">
      <alignment horizontal="center"/>
    </xf>
    <xf numFmtId="49" fontId="17" fillId="0" borderId="21" xfId="0" applyNumberFormat="1" applyFont="1" applyBorder="1" applyAlignment="1">
      <alignment horizontal="center"/>
    </xf>
    <xf numFmtId="0" fontId="17" fillId="0" borderId="21" xfId="0" applyFont="1" applyBorder="1" applyAlignment="1">
      <alignment horizontal="left" wrapText="1" indent="4"/>
    </xf>
    <xf numFmtId="0" fontId="17" fillId="0" borderId="25" xfId="0" applyFont="1" applyBorder="1" applyAlignment="1">
      <alignment horizontal="left" wrapText="1" indent="4"/>
    </xf>
    <xf numFmtId="0" fontId="17" fillId="0" borderId="25" xfId="0" applyFont="1" applyBorder="1" applyAlignment="1">
      <alignment horizontal="left" wrapText="1" indent="1"/>
    </xf>
    <xf numFmtId="0" fontId="17" fillId="0" borderId="10" xfId="0" applyFont="1" applyBorder="1" applyAlignment="1">
      <alignment horizontal="left" wrapText="1" inden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5" xfId="0" applyFont="1" applyBorder="1" applyAlignment="1">
      <alignment horizontal="center" vertical="center" wrapText="1"/>
    </xf>
    <xf numFmtId="4" fontId="17" fillId="0" borderId="53" xfId="0" applyNumberFormat="1" applyFont="1" applyBorder="1" applyAlignment="1">
      <alignment horizontal="center"/>
    </xf>
    <xf numFmtId="0" fontId="17" fillId="0" borderId="24" xfId="0" applyFont="1" applyBorder="1" applyAlignment="1">
      <alignment horizontal="left" wrapText="1"/>
    </xf>
    <xf numFmtId="0" fontId="17" fillId="0" borderId="21" xfId="0" applyFont="1" applyBorder="1" applyAlignment="1">
      <alignment horizontal="left" wrapText="1"/>
    </xf>
    <xf numFmtId="0" fontId="17" fillId="0" borderId="25" xfId="0" applyFont="1" applyBorder="1" applyAlignment="1">
      <alignment horizontal="left" wrapText="1"/>
    </xf>
    <xf numFmtId="0" fontId="17" fillId="0" borderId="51" xfId="0" applyFont="1" applyBorder="1" applyAlignment="1">
      <alignment horizontal="center"/>
    </xf>
    <xf numFmtId="0" fontId="17" fillId="0" borderId="52" xfId="0" applyFont="1" applyBorder="1" applyAlignment="1">
      <alignment horizontal="center"/>
    </xf>
    <xf numFmtId="4" fontId="17" fillId="0" borderId="21" xfId="0" applyNumberFormat="1" applyFont="1" applyBorder="1" applyAlignment="1">
      <alignment horizontal="center"/>
    </xf>
    <xf numFmtId="4" fontId="17" fillId="0" borderId="31" xfId="0" applyNumberFormat="1" applyFont="1" applyBorder="1" applyAlignment="1">
      <alignment horizontal="center"/>
    </xf>
    <xf numFmtId="0" fontId="17" fillId="0" borderId="24" xfId="0" applyFont="1" applyBorder="1" applyAlignment="1">
      <alignment horizontal="left" wrapText="1" indent="4"/>
    </xf>
    <xf numFmtId="0" fontId="17" fillId="0" borderId="26" xfId="0" applyFont="1" applyBorder="1" applyAlignment="1">
      <alignment horizontal="center"/>
    </xf>
    <xf numFmtId="0" fontId="17" fillId="0" borderId="35" xfId="0" applyFont="1" applyBorder="1" applyAlignment="1">
      <alignment horizontal="left" wrapText="1"/>
    </xf>
    <xf numFmtId="0" fontId="17" fillId="0" borderId="27" xfId="0" applyFont="1" applyBorder="1" applyAlignment="1">
      <alignment horizontal="left" wrapText="1"/>
    </xf>
    <xf numFmtId="0" fontId="17" fillId="0" borderId="34" xfId="0" applyFont="1" applyBorder="1" applyAlignment="1">
      <alignment horizontal="left" wrapText="1"/>
    </xf>
    <xf numFmtId="0" fontId="17" fillId="0" borderId="24" xfId="0" applyFont="1" applyBorder="1" applyAlignment="1">
      <alignment horizontal="left" indent="3"/>
    </xf>
    <xf numFmtId="0" fontId="17" fillId="0" borderId="21" xfId="0" applyFont="1" applyBorder="1" applyAlignment="1">
      <alignment horizontal="left" indent="3"/>
    </xf>
    <xf numFmtId="0" fontId="17" fillId="0" borderId="25" xfId="0" applyFont="1" applyBorder="1" applyAlignment="1">
      <alignment horizontal="left" indent="3"/>
    </xf>
    <xf numFmtId="0" fontId="17" fillId="0" borderId="35" xfId="0" applyFont="1" applyBorder="1" applyAlignment="1">
      <alignment horizontal="left" wrapText="1" indent="3"/>
    </xf>
    <xf numFmtId="0" fontId="17" fillId="0" borderId="27" xfId="0" applyFont="1" applyBorder="1" applyAlignment="1">
      <alignment horizontal="left" indent="3"/>
    </xf>
    <xf numFmtId="0" fontId="17" fillId="0" borderId="34" xfId="0" applyFont="1" applyBorder="1" applyAlignment="1">
      <alignment horizontal="left" indent="3"/>
    </xf>
    <xf numFmtId="4" fontId="5" fillId="0" borderId="26" xfId="0" applyNumberFormat="1" applyFont="1" applyBorder="1" applyAlignment="1">
      <alignment horizontal="center"/>
    </xf>
    <xf numFmtId="4" fontId="5" fillId="0" borderId="65" xfId="0" applyNumberFormat="1" applyFont="1" applyBorder="1" applyAlignment="1">
      <alignment horizontal="center"/>
    </xf>
    <xf numFmtId="0" fontId="17" fillId="0" borderId="24" xfId="0" applyFont="1" applyBorder="1" applyAlignment="1">
      <alignment horizontal="left" wrapText="1" indent="2"/>
    </xf>
    <xf numFmtId="0" fontId="17" fillId="0" borderId="21" xfId="0" applyFont="1" applyBorder="1" applyAlignment="1">
      <alignment horizontal="left" wrapText="1" indent="2"/>
    </xf>
    <xf numFmtId="0" fontId="17" fillId="0" borderId="25" xfId="0" applyFont="1" applyBorder="1" applyAlignment="1">
      <alignment horizontal="left" wrapText="1" indent="2"/>
    </xf>
    <xf numFmtId="0" fontId="17" fillId="0" borderId="24" xfId="0" applyFont="1" applyBorder="1" applyAlignment="1">
      <alignment horizontal="left" wrapText="1" indent="3"/>
    </xf>
    <xf numFmtId="0" fontId="17" fillId="0" borderId="10" xfId="0" applyFont="1" applyBorder="1" applyAlignment="1">
      <alignment horizontal="left" wrapText="1" indent="2"/>
    </xf>
    <xf numFmtId="0" fontId="17" fillId="0" borderId="21" xfId="0" applyFont="1" applyBorder="1" applyAlignment="1">
      <alignment horizontal="left" wrapText="1" indent="3"/>
    </xf>
    <xf numFmtId="0" fontId="17" fillId="0" borderId="21" xfId="0" applyFont="1" applyBorder="1" applyAlignment="1">
      <alignment horizontal="left" indent="2"/>
    </xf>
    <xf numFmtId="0" fontId="17" fillId="0" borderId="25" xfId="0" applyFont="1" applyBorder="1" applyAlignment="1">
      <alignment horizontal="left" indent="2"/>
    </xf>
    <xf numFmtId="0" fontId="17" fillId="0" borderId="21" xfId="0" applyFont="1" applyBorder="1" applyAlignment="1">
      <alignment horizontal="left" wrapText="1" indent="1"/>
    </xf>
    <xf numFmtId="0" fontId="17" fillId="0" borderId="24" xfId="0" applyFont="1" applyBorder="1" applyAlignment="1">
      <alignment horizontal="left" wrapText="1" indent="1"/>
    </xf>
    <xf numFmtId="0" fontId="17" fillId="0" borderId="21" xfId="0" applyFont="1" applyBorder="1" applyAlignment="1">
      <alignment horizontal="left" indent="1"/>
    </xf>
    <xf numFmtId="0" fontId="17" fillId="0" borderId="25" xfId="0" applyFont="1" applyBorder="1" applyAlignment="1">
      <alignment horizontal="left" indent="1"/>
    </xf>
    <xf numFmtId="0" fontId="17" fillId="0" borderId="30" xfId="0" applyFont="1" applyBorder="1" applyAlignment="1">
      <alignment horizontal="center"/>
    </xf>
    <xf numFmtId="0" fontId="19" fillId="0" borderId="28" xfId="0" applyFont="1" applyBorder="1" applyAlignment="1">
      <alignment horizontal="center"/>
    </xf>
    <xf numFmtId="0" fontId="19" fillId="0" borderId="25" xfId="0" applyFont="1" applyBorder="1" applyAlignment="1">
      <alignment horizontal="left"/>
    </xf>
    <xf numFmtId="0" fontId="19" fillId="0" borderId="10" xfId="0" applyFont="1" applyBorder="1" applyAlignment="1">
      <alignment horizontal="left"/>
    </xf>
    <xf numFmtId="0" fontId="19" fillId="0" borderId="46" xfId="0" applyFont="1" applyBorder="1" applyAlignment="1">
      <alignment horizontal="center"/>
    </xf>
    <xf numFmtId="0" fontId="19" fillId="0" borderId="44" xfId="0" applyFont="1" applyBorder="1" applyAlignment="1">
      <alignment horizontal="center"/>
    </xf>
    <xf numFmtId="0" fontId="17" fillId="0" borderId="44" xfId="0"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0" fontId="17" fillId="0" borderId="11" xfId="0" applyFont="1" applyBorder="1" applyAlignment="1">
      <alignment horizontal="center" vertical="center"/>
    </xf>
    <xf numFmtId="0" fontId="17" fillId="0" borderId="35" xfId="0" applyFont="1" applyBorder="1" applyAlignment="1">
      <alignment horizontal="center" vertical="center"/>
    </xf>
    <xf numFmtId="0" fontId="17" fillId="0" borderId="21" xfId="0" applyFont="1" applyBorder="1" applyAlignment="1">
      <alignment horizontal="center" vertical="center" wrapText="1"/>
    </xf>
    <xf numFmtId="0" fontId="17" fillId="0" borderId="23" xfId="0" applyFont="1" applyBorder="1" applyAlignment="1">
      <alignment horizontal="center" vertical="center"/>
    </xf>
    <xf numFmtId="0" fontId="17" fillId="0" borderId="29" xfId="0" applyFont="1" applyBorder="1" applyAlignment="1">
      <alignment horizontal="center" vertical="center"/>
    </xf>
    <xf numFmtId="0" fontId="17" fillId="0" borderId="0" xfId="0" applyFont="1" applyBorder="1" applyAlignment="1">
      <alignment horizontal="center" vertical="center"/>
    </xf>
    <xf numFmtId="0" fontId="17" fillId="0" borderId="40" xfId="0" applyFont="1" applyBorder="1" applyAlignment="1">
      <alignment horizontal="center" vertical="center"/>
    </xf>
    <xf numFmtId="49" fontId="17" fillId="0" borderId="57" xfId="0" applyNumberFormat="1" applyFont="1" applyBorder="1" applyAlignment="1">
      <alignment horizontal="center"/>
    </xf>
    <xf numFmtId="49" fontId="17" fillId="0" borderId="49" xfId="0" applyNumberFormat="1" applyFont="1" applyBorder="1" applyAlignment="1">
      <alignment horizontal="center"/>
    </xf>
    <xf numFmtId="49" fontId="17" fillId="0" borderId="58" xfId="0" applyNumberFormat="1" applyFont="1" applyBorder="1" applyAlignment="1">
      <alignment horizontal="center"/>
    </xf>
    <xf numFmtId="0" fontId="17" fillId="0" borderId="0" xfId="0" applyFont="1" applyBorder="1" applyAlignment="1">
      <alignment/>
    </xf>
    <xf numFmtId="0" fontId="17" fillId="0" borderId="30" xfId="0" applyFont="1" applyBorder="1" applyAlignment="1">
      <alignment horizontal="right"/>
    </xf>
    <xf numFmtId="0" fontId="17" fillId="0" borderId="23" xfId="0" applyFont="1" applyBorder="1" applyAlignment="1">
      <alignment horizontal="right"/>
    </xf>
    <xf numFmtId="49" fontId="17" fillId="0" borderId="10" xfId="0" applyNumberFormat="1" applyFont="1" applyBorder="1" applyAlignment="1">
      <alignment/>
    </xf>
    <xf numFmtId="49" fontId="17" fillId="0" borderId="10" xfId="0" applyNumberFormat="1" applyFont="1" applyBorder="1" applyAlignment="1">
      <alignment/>
    </xf>
    <xf numFmtId="0" fontId="17" fillId="0" borderId="25" xfId="0" applyFont="1" applyBorder="1" applyAlignment="1">
      <alignment horizontal="center" vertical="center"/>
    </xf>
    <xf numFmtId="0" fontId="17" fillId="0" borderId="10" xfId="0" applyFont="1" applyBorder="1" applyAlignment="1">
      <alignment horizontal="center" vertical="center"/>
    </xf>
    <xf numFmtId="0" fontId="17" fillId="0" borderId="23" xfId="0" applyFont="1" applyBorder="1" applyAlignment="1">
      <alignment/>
    </xf>
    <xf numFmtId="0" fontId="17" fillId="0" borderId="29" xfId="0" applyFont="1" applyBorder="1" applyAlignment="1">
      <alignment/>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24"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17" fillId="0" borderId="11" xfId="0" applyNumberFormat="1" applyFont="1" applyBorder="1" applyAlignment="1">
      <alignment/>
    </xf>
    <xf numFmtId="49" fontId="5" fillId="0" borderId="66" xfId="0" applyNumberFormat="1" applyFont="1" applyBorder="1" applyAlignment="1">
      <alignment horizontal="center"/>
    </xf>
    <xf numFmtId="49" fontId="5" fillId="0" borderId="11" xfId="0" applyNumberFormat="1" applyFont="1" applyBorder="1" applyAlignment="1">
      <alignment horizontal="center"/>
    </xf>
    <xf numFmtId="0" fontId="21" fillId="0" borderId="67" xfId="0" applyFont="1" applyBorder="1" applyAlignment="1">
      <alignment horizontal="center" vertical="top"/>
    </xf>
    <xf numFmtId="0" fontId="21" fillId="0" borderId="23" xfId="0" applyFont="1" applyBorder="1" applyAlignment="1">
      <alignment horizontal="center" vertical="top"/>
    </xf>
    <xf numFmtId="49" fontId="0" fillId="0" borderId="68" xfId="0" applyNumberFormat="1" applyFont="1" applyBorder="1" applyAlignment="1">
      <alignment horizontal="center"/>
    </xf>
    <xf numFmtId="0" fontId="21" fillId="0" borderId="69" xfId="0" applyFont="1" applyBorder="1" applyAlignment="1">
      <alignment horizontal="center" vertical="top"/>
    </xf>
    <xf numFmtId="0" fontId="0" fillId="0" borderId="0" xfId="0" applyBorder="1" applyAlignment="1">
      <alignment/>
    </xf>
    <xf numFmtId="49" fontId="0" fillId="0" borderId="66" xfId="0" applyNumberFormat="1" applyFont="1" applyBorder="1" applyAlignment="1">
      <alignment/>
    </xf>
    <xf numFmtId="49" fontId="0" fillId="0" borderId="11" xfId="0" applyNumberFormat="1" applyFont="1" applyBorder="1" applyAlignment="1">
      <alignment/>
    </xf>
    <xf numFmtId="49" fontId="0" fillId="0" borderId="68" xfId="0" applyNumberFormat="1" applyFont="1" applyBorder="1" applyAlignment="1">
      <alignment/>
    </xf>
    <xf numFmtId="0" fontId="21" fillId="0" borderId="67" xfId="0" applyFont="1" applyBorder="1" applyAlignment="1">
      <alignment horizontal="center"/>
    </xf>
    <xf numFmtId="0" fontId="21" fillId="0" borderId="23" xfId="0" applyFont="1" applyBorder="1" applyAlignment="1">
      <alignment horizontal="center"/>
    </xf>
    <xf numFmtId="0" fontId="21" fillId="0" borderId="69" xfId="0" applyFont="1" applyBorder="1" applyAlignment="1">
      <alignment horizontal="center"/>
    </xf>
    <xf numFmtId="0" fontId="0" fillId="0" borderId="0" xfId="0" applyFont="1" applyAlignment="1">
      <alignment horizontal="left" wrapText="1"/>
    </xf>
    <xf numFmtId="49" fontId="1" fillId="0" borderId="11" xfId="0" applyNumberFormat="1" applyFont="1" applyBorder="1" applyAlignment="1">
      <alignment horizontal="center"/>
    </xf>
    <xf numFmtId="0" fontId="83" fillId="0" borderId="21" xfId="53" applyFont="1" applyBorder="1" applyAlignment="1">
      <alignment horizontal="center" vertical="center" wrapText="1"/>
      <protection/>
    </xf>
    <xf numFmtId="0" fontId="83" fillId="0" borderId="25" xfId="53" applyFont="1" applyBorder="1" applyAlignment="1">
      <alignment horizontal="center" wrapText="1"/>
      <protection/>
    </xf>
    <xf numFmtId="0" fontId="83" fillId="0" borderId="10" xfId="53" applyFont="1" applyBorder="1" applyAlignment="1">
      <alignment horizontal="center" wrapText="1"/>
      <protection/>
    </xf>
    <xf numFmtId="0" fontId="83" fillId="0" borderId="24" xfId="53" applyFont="1" applyBorder="1" applyAlignment="1">
      <alignment horizontal="center" wrapText="1"/>
      <protection/>
    </xf>
    <xf numFmtId="0" fontId="83" fillId="0" borderId="21" xfId="53" applyFont="1" applyBorder="1" applyAlignment="1">
      <alignment horizontal="center" wrapText="1"/>
      <protection/>
    </xf>
    <xf numFmtId="0" fontId="83" fillId="0" borderId="21" xfId="53" applyFont="1" applyBorder="1" applyAlignment="1">
      <alignment horizontal="center"/>
      <protection/>
    </xf>
    <xf numFmtId="0" fontId="5" fillId="0" borderId="23" xfId="53" applyFont="1" applyBorder="1" applyAlignment="1">
      <alignment horizontal="left" vertical="top"/>
      <protection/>
    </xf>
    <xf numFmtId="0" fontId="0" fillId="0" borderId="23" xfId="53" applyFont="1" applyBorder="1" applyAlignment="1">
      <alignment horizontal="left" vertical="top"/>
      <protection/>
    </xf>
    <xf numFmtId="0" fontId="82" fillId="0" borderId="0" xfId="53" applyFont="1" applyAlignment="1">
      <alignment horizontal="center"/>
      <protection/>
    </xf>
    <xf numFmtId="0" fontId="82" fillId="0" borderId="0" xfId="53" applyFont="1" applyBorder="1" applyAlignment="1">
      <alignment horizontal="center"/>
      <protection/>
    </xf>
    <xf numFmtId="0" fontId="82" fillId="0" borderId="0" xfId="53" applyFont="1" applyBorder="1" applyAlignment="1">
      <alignment horizontal="left" wrapText="1"/>
      <protection/>
    </xf>
    <xf numFmtId="0" fontId="82" fillId="0" borderId="0" xfId="53" applyFont="1" applyBorder="1" applyAlignment="1">
      <alignment horizontal="left"/>
      <protection/>
    </xf>
    <xf numFmtId="0" fontId="0" fillId="0" borderId="30" xfId="54" applyNumberFormat="1" applyFont="1" applyBorder="1" applyAlignment="1">
      <alignment horizontal="center" vertical="center" wrapText="1"/>
      <protection/>
    </xf>
    <xf numFmtId="0" fontId="0" fillId="0" borderId="23" xfId="54" applyNumberFormat="1" applyFont="1" applyBorder="1" applyAlignment="1">
      <alignment horizontal="center" vertical="center" wrapText="1"/>
      <protection/>
    </xf>
    <xf numFmtId="0" fontId="0" fillId="0" borderId="29" xfId="54" applyNumberFormat="1" applyFont="1" applyBorder="1" applyAlignment="1">
      <alignment horizontal="center" vertical="center" wrapText="1"/>
      <protection/>
    </xf>
    <xf numFmtId="0" fontId="0" fillId="0" borderId="22" xfId="54" applyNumberFormat="1" applyFont="1" applyBorder="1" applyAlignment="1">
      <alignment horizontal="center" vertical="center" wrapText="1"/>
      <protection/>
    </xf>
    <xf numFmtId="0" fontId="0" fillId="0" borderId="0" xfId="54" applyNumberFormat="1" applyFont="1" applyBorder="1" applyAlignment="1">
      <alignment horizontal="center" vertical="center" wrapText="1"/>
      <protection/>
    </xf>
    <xf numFmtId="0" fontId="0" fillId="0" borderId="40" xfId="54" applyNumberFormat="1" applyFont="1" applyBorder="1" applyAlignment="1">
      <alignment horizontal="center" vertical="center" wrapText="1"/>
      <protection/>
    </xf>
    <xf numFmtId="0" fontId="0" fillId="0" borderId="34" xfId="54" applyNumberFormat="1" applyFont="1" applyBorder="1" applyAlignment="1">
      <alignment horizontal="center" vertical="center" wrapText="1"/>
      <protection/>
    </xf>
    <xf numFmtId="0" fontId="0" fillId="0" borderId="11" xfId="54" applyNumberFormat="1" applyFont="1" applyBorder="1" applyAlignment="1">
      <alignment horizontal="center" vertical="center" wrapText="1"/>
      <protection/>
    </xf>
    <xf numFmtId="0" fontId="0" fillId="0" borderId="35" xfId="54" applyNumberFormat="1" applyFont="1" applyBorder="1" applyAlignment="1">
      <alignment horizontal="center" vertical="center" wrapText="1"/>
      <protection/>
    </xf>
    <xf numFmtId="0" fontId="29" fillId="0" borderId="0" xfId="54" applyNumberFormat="1" applyFont="1" applyBorder="1" applyAlignment="1">
      <alignment horizontal="center" wrapText="1"/>
      <protection/>
    </xf>
    <xf numFmtId="0" fontId="4" fillId="0" borderId="0" xfId="54" applyNumberFormat="1" applyFont="1" applyBorder="1" applyAlignment="1">
      <alignment horizontal="center"/>
      <protection/>
    </xf>
    <xf numFmtId="49" fontId="4" fillId="0" borderId="11" xfId="54" applyNumberFormat="1" applyFont="1" applyBorder="1" applyAlignment="1">
      <alignment horizontal="left"/>
      <protection/>
    </xf>
    <xf numFmtId="0" fontId="5" fillId="0" borderId="0" xfId="54" applyNumberFormat="1" applyFont="1" applyBorder="1" applyAlignment="1">
      <alignment horizontal="left"/>
      <protection/>
    </xf>
    <xf numFmtId="0" fontId="31" fillId="0" borderId="0" xfId="54" applyFont="1" applyFill="1" applyBorder="1" applyAlignment="1">
      <alignment horizontal="left" wrapText="1"/>
      <protection/>
    </xf>
    <xf numFmtId="0" fontId="32" fillId="0" borderId="0" xfId="54" applyFont="1" applyFill="1" applyBorder="1" applyAlignment="1">
      <alignment horizontal="left" wrapText="1"/>
      <protection/>
    </xf>
    <xf numFmtId="0" fontId="0" fillId="0" borderId="25" xfId="54" applyNumberFormat="1" applyFont="1" applyBorder="1" applyAlignment="1">
      <alignment horizontal="center" vertical="center" wrapText="1"/>
      <protection/>
    </xf>
    <xf numFmtId="0" fontId="0" fillId="0" borderId="10" xfId="54" applyNumberFormat="1" applyFont="1" applyBorder="1" applyAlignment="1">
      <alignment horizontal="center" vertical="center" wrapText="1"/>
      <protection/>
    </xf>
    <xf numFmtId="0" fontId="0" fillId="0" borderId="24"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0" fontId="0" fillId="0" borderId="21" xfId="54" applyNumberFormat="1" applyFont="1" applyBorder="1" applyAlignment="1">
      <alignment horizontal="center" vertical="center" wrapText="1"/>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left" vertical="center" wrapText="1"/>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27" fillId="0" borderId="21" xfId="54" applyNumberFormat="1" applyFont="1" applyBorder="1" applyAlignment="1">
      <alignment horizontal="left" vertical="center"/>
      <protection/>
    </xf>
    <xf numFmtId="0" fontId="27" fillId="0" borderId="21" xfId="54" applyNumberFormat="1" applyFont="1" applyBorder="1" applyAlignment="1">
      <alignment horizontal="left" vertical="top" wrapText="1"/>
      <protection/>
    </xf>
    <xf numFmtId="0" fontId="0" fillId="0" borderId="21" xfId="0" applyBorder="1" applyAlignment="1">
      <alignment horizontal="left" vertical="top" wrapText="1"/>
    </xf>
    <xf numFmtId="0" fontId="0" fillId="0" borderId="21" xfId="0" applyBorder="1" applyAlignment="1">
      <alignment horizontal="center" vertical="center"/>
    </xf>
    <xf numFmtId="0" fontId="27" fillId="0" borderId="25" xfId="54" applyNumberFormat="1" applyFont="1" applyBorder="1" applyAlignment="1">
      <alignment horizontal="left" vertical="center"/>
      <protection/>
    </xf>
    <xf numFmtId="0" fontId="0" fillId="0" borderId="10" xfId="0" applyBorder="1" applyAlignment="1">
      <alignment horizontal="left" vertical="center"/>
    </xf>
    <xf numFmtId="49" fontId="27" fillId="0" borderId="25" xfId="54" applyNumberFormat="1" applyFont="1" applyBorder="1" applyAlignment="1">
      <alignment horizontal="right" vertical="center"/>
      <protection/>
    </xf>
    <xf numFmtId="49" fontId="27" fillId="0" borderId="10" xfId="54" applyNumberFormat="1" applyFont="1" applyBorder="1" applyAlignment="1">
      <alignment horizontal="right" vertical="center"/>
      <protection/>
    </xf>
    <xf numFmtId="49" fontId="27" fillId="0" borderId="24" xfId="54" applyNumberFormat="1" applyFont="1" applyBorder="1" applyAlignment="1">
      <alignment horizontal="right" vertical="center"/>
      <protection/>
    </xf>
    <xf numFmtId="0" fontId="82" fillId="0" borderId="11" xfId="53" applyFont="1" applyBorder="1" applyAlignment="1">
      <alignment horizontal="center" wrapText="1"/>
      <protection/>
    </xf>
    <xf numFmtId="0" fontId="82" fillId="0" borderId="11" xfId="53" applyFont="1" applyBorder="1" applyAlignment="1">
      <alignment horizontal="center"/>
      <protection/>
    </xf>
    <xf numFmtId="0" fontId="82" fillId="0" borderId="0" xfId="53" applyFont="1" applyAlignment="1">
      <alignment horizontal="center" wrapText="1"/>
      <protection/>
    </xf>
    <xf numFmtId="0" fontId="5" fillId="33" borderId="21" xfId="57" applyFont="1" applyFill="1" applyBorder="1" applyAlignment="1">
      <alignment horizontal="center" vertical="center" wrapText="1"/>
      <protection/>
    </xf>
    <xf numFmtId="0" fontId="5" fillId="33" borderId="25" xfId="57" applyFont="1" applyFill="1" applyBorder="1" applyAlignment="1">
      <alignment horizontal="left" vertical="top"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0" fontId="83" fillId="0" borderId="25" xfId="53" applyFont="1" applyBorder="1" applyAlignment="1">
      <alignment horizontal="right"/>
      <protection/>
    </xf>
    <xf numFmtId="0" fontId="83" fillId="0" borderId="10" xfId="53" applyFont="1" applyBorder="1" applyAlignment="1">
      <alignment horizontal="right"/>
      <protection/>
    </xf>
    <xf numFmtId="0" fontId="83" fillId="0" borderId="24" xfId="53" applyFont="1" applyBorder="1" applyAlignment="1">
      <alignment horizontal="right"/>
      <protection/>
    </xf>
    <xf numFmtId="0" fontId="82" fillId="0" borderId="21" xfId="53" applyFont="1" applyBorder="1" applyAlignment="1">
      <alignment horizontal="center" vertical="top" wrapText="1"/>
      <protection/>
    </xf>
    <xf numFmtId="0" fontId="5" fillId="33" borderId="21" xfId="57" applyFont="1" applyFill="1" applyBorder="1" applyAlignment="1">
      <alignment horizontal="left" vertical="top" wrapText="1"/>
      <protection/>
    </xf>
    <xf numFmtId="0" fontId="0" fillId="0" borderId="21" xfId="53" applyBorder="1" applyAlignment="1">
      <alignment horizontal="left" vertical="top" wrapText="1"/>
      <protection/>
    </xf>
    <xf numFmtId="0" fontId="83" fillId="0" borderId="21" xfId="53" applyFont="1" applyBorder="1" applyAlignment="1">
      <alignment horizontal="right"/>
      <protection/>
    </xf>
    <xf numFmtId="0" fontId="82" fillId="0" borderId="21" xfId="53" applyFont="1" applyBorder="1" applyAlignment="1">
      <alignment horizontal="center" wrapText="1"/>
      <protection/>
    </xf>
    <xf numFmtId="0" fontId="0" fillId="0" borderId="21" xfId="53" applyBorder="1" applyAlignment="1">
      <alignment horizontal="center" wrapText="1"/>
      <protection/>
    </xf>
    <xf numFmtId="0" fontId="83" fillId="0" borderId="25" xfId="53" applyFont="1" applyBorder="1" applyAlignment="1">
      <alignment horizontal="center" vertical="center"/>
      <protection/>
    </xf>
    <xf numFmtId="0" fontId="0" fillId="0" borderId="24" xfId="0" applyBorder="1" applyAlignment="1">
      <alignment horizontal="center" vertical="center"/>
    </xf>
    <xf numFmtId="0" fontId="0" fillId="0" borderId="21" xfId="53" applyBorder="1" applyAlignment="1">
      <alignment horizontal="right"/>
      <protection/>
    </xf>
    <xf numFmtId="0" fontId="82" fillId="0" borderId="21" xfId="53" applyFont="1" applyBorder="1" applyAlignment="1">
      <alignment horizontal="left" wrapText="1"/>
      <protection/>
    </xf>
    <xf numFmtId="0" fontId="82" fillId="0" borderId="21" xfId="53" applyFont="1" applyBorder="1" applyAlignment="1">
      <alignment horizontal="center"/>
      <protection/>
    </xf>
    <xf numFmtId="0" fontId="0" fillId="0" borderId="21" xfId="53" applyBorder="1" applyAlignment="1">
      <alignment/>
      <protection/>
    </xf>
    <xf numFmtId="0" fontId="0" fillId="0" borderId="21" xfId="53" applyBorder="1" applyAlignment="1">
      <alignment horizontal="center"/>
      <protection/>
    </xf>
    <xf numFmtId="0" fontId="0" fillId="0" borderId="21" xfId="53" applyBorder="1" applyAlignment="1">
      <alignment horizontal="center" vertical="center" wrapText="1"/>
      <protection/>
    </xf>
    <xf numFmtId="0" fontId="83" fillId="0" borderId="25" xfId="53" applyFont="1" applyBorder="1" applyAlignment="1">
      <alignment horizontal="center" vertical="center" wrapText="1"/>
      <protection/>
    </xf>
    <xf numFmtId="0" fontId="0" fillId="0" borderId="24" xfId="0" applyBorder="1" applyAlignment="1">
      <alignment horizontal="center" vertical="center" wrapText="1"/>
    </xf>
    <xf numFmtId="0" fontId="83" fillId="0" borderId="25" xfId="53" applyFont="1" applyBorder="1" applyAlignment="1">
      <alignment horizontal="center"/>
      <protection/>
    </xf>
    <xf numFmtId="0" fontId="0" fillId="0" borderId="24" xfId="0" applyBorder="1" applyAlignment="1">
      <alignment horizontal="center"/>
    </xf>
    <xf numFmtId="4" fontId="83" fillId="0" borderId="25" xfId="53" applyNumberFormat="1" applyFont="1" applyBorder="1" applyAlignment="1">
      <alignment horizontal="center" vertical="center"/>
      <protection/>
    </xf>
    <xf numFmtId="0" fontId="5" fillId="0" borderId="0" xfId="53" applyFont="1" applyAlignment="1">
      <alignment wrapText="1"/>
      <protection/>
    </xf>
    <xf numFmtId="0" fontId="0" fillId="0" borderId="0" xfId="0" applyAlignment="1">
      <alignment wrapText="1"/>
    </xf>
    <xf numFmtId="0" fontId="82" fillId="0" borderId="0" xfId="0" applyFont="1" applyBorder="1" applyAlignment="1">
      <alignment horizontal="left"/>
    </xf>
    <xf numFmtId="0" fontId="82" fillId="0" borderId="0" xfId="0" applyFont="1" applyBorder="1" applyAlignment="1">
      <alignment horizontal="left" wrapText="1"/>
    </xf>
    <xf numFmtId="0" fontId="4" fillId="0" borderId="0" xfId="54" applyNumberFormat="1" applyFont="1" applyBorder="1" applyAlignment="1">
      <alignment horizontal="center" wrapText="1"/>
      <protection/>
    </xf>
    <xf numFmtId="0" fontId="0" fillId="0" borderId="0" xfId="0" applyAlignment="1">
      <alignment horizontal="center" wrapText="1"/>
    </xf>
    <xf numFmtId="0" fontId="5" fillId="0" borderId="21" xfId="0" applyFont="1" applyBorder="1" applyAlignment="1">
      <alignment horizontal="center" vertical="center" wrapText="1"/>
    </xf>
    <xf numFmtId="0" fontId="0" fillId="0" borderId="21" xfId="0" applyBorder="1" applyAlignment="1">
      <alignment horizontal="center" vertical="top"/>
    </xf>
    <xf numFmtId="49" fontId="27" fillId="0" borderId="25" xfId="54" applyNumberFormat="1" applyFont="1" applyBorder="1" applyAlignment="1">
      <alignment horizontal="left" vertical="center" wrapText="1"/>
      <protection/>
    </xf>
    <xf numFmtId="0" fontId="27" fillId="0" borderId="10" xfId="0" applyFont="1" applyBorder="1" applyAlignment="1">
      <alignment horizontal="left" vertical="center" wrapText="1"/>
    </xf>
    <xf numFmtId="0" fontId="27" fillId="0" borderId="24" xfId="0" applyFont="1" applyBorder="1" applyAlignment="1">
      <alignment horizontal="left" vertical="center" wrapText="1"/>
    </xf>
    <xf numFmtId="0" fontId="0" fillId="0" borderId="10" xfId="0" applyBorder="1" applyAlignment="1">
      <alignment horizontal="right" vertical="center"/>
    </xf>
    <xf numFmtId="0" fontId="0" fillId="0" borderId="24" xfId="0" applyBorder="1" applyAlignment="1">
      <alignment horizontal="right" vertical="center"/>
    </xf>
    <xf numFmtId="0" fontId="87" fillId="34" borderId="25" xfId="0" applyFont="1" applyFill="1" applyBorder="1" applyAlignment="1">
      <alignment horizontal="center"/>
    </xf>
    <xf numFmtId="0" fontId="87" fillId="34" borderId="10" xfId="0" applyFont="1" applyFill="1" applyBorder="1" applyAlignment="1">
      <alignment horizontal="center"/>
    </xf>
    <xf numFmtId="0" fontId="87" fillId="34" borderId="24" xfId="0" applyFont="1" applyFill="1" applyBorder="1" applyAlignment="1">
      <alignment horizontal="center"/>
    </xf>
    <xf numFmtId="0" fontId="83" fillId="34" borderId="25" xfId="0" applyFont="1" applyFill="1" applyBorder="1" applyAlignment="1">
      <alignment horizontal="left" vertical="center" wrapText="1"/>
    </xf>
    <xf numFmtId="0" fontId="83" fillId="34" borderId="10" xfId="0" applyFont="1" applyFill="1" applyBorder="1" applyAlignment="1">
      <alignment horizontal="left" vertical="center" wrapText="1"/>
    </xf>
    <xf numFmtId="0" fontId="83" fillId="34" borderId="24" xfId="0" applyFont="1" applyFill="1" applyBorder="1" applyAlignment="1">
      <alignment horizontal="left" vertical="center" wrapText="1"/>
    </xf>
    <xf numFmtId="0" fontId="83" fillId="34" borderId="25" xfId="0" applyFont="1" applyFill="1" applyBorder="1" applyAlignment="1">
      <alignment horizontal="left" vertical="top" wrapText="1"/>
    </xf>
    <xf numFmtId="0" fontId="83" fillId="34" borderId="10" xfId="0" applyFont="1" applyFill="1" applyBorder="1" applyAlignment="1">
      <alignment horizontal="left" vertical="top" wrapText="1"/>
    </xf>
    <xf numFmtId="0" fontId="83" fillId="34" borderId="24" xfId="0" applyFont="1" applyFill="1" applyBorder="1" applyAlignment="1">
      <alignment horizontal="left" vertical="top" wrapText="1"/>
    </xf>
    <xf numFmtId="0" fontId="83" fillId="34" borderId="25" xfId="0" applyFont="1" applyFill="1" applyBorder="1" applyAlignment="1">
      <alignment horizontal="left"/>
    </xf>
    <xf numFmtId="0" fontId="83" fillId="34" borderId="10" xfId="0" applyFont="1" applyFill="1" applyBorder="1" applyAlignment="1">
      <alignment horizontal="left"/>
    </xf>
    <xf numFmtId="0" fontId="83" fillId="34" borderId="24" xfId="0" applyFont="1" applyFill="1" applyBorder="1" applyAlignment="1">
      <alignment horizontal="left"/>
    </xf>
    <xf numFmtId="0" fontId="27" fillId="33" borderId="25" xfId="57" applyFont="1" applyFill="1" applyBorder="1" applyAlignment="1">
      <alignment horizontal="left" vertical="top" wrapText="1"/>
      <protection/>
    </xf>
    <xf numFmtId="0" fontId="27" fillId="0" borderId="10" xfId="0" applyFont="1" applyBorder="1" applyAlignment="1">
      <alignment horizontal="left" vertical="top" wrapText="1"/>
    </xf>
    <xf numFmtId="0" fontId="27" fillId="0" borderId="24" xfId="0" applyFont="1" applyBorder="1" applyAlignment="1">
      <alignment horizontal="left" vertical="top" wrapText="1"/>
    </xf>
    <xf numFmtId="0" fontId="88" fillId="0" borderId="25" xfId="0" applyFont="1" applyBorder="1" applyAlignment="1">
      <alignment horizontal="right"/>
    </xf>
    <xf numFmtId="0" fontId="88" fillId="0" borderId="10" xfId="0" applyFont="1" applyBorder="1" applyAlignment="1">
      <alignment horizontal="right"/>
    </xf>
    <xf numFmtId="0" fontId="88" fillId="0" borderId="24" xfId="0" applyFont="1" applyBorder="1" applyAlignment="1">
      <alignment horizontal="right"/>
    </xf>
    <xf numFmtId="0" fontId="82" fillId="0" borderId="0" xfId="0" applyFont="1" applyAlignment="1">
      <alignment horizontal="center" wrapText="1"/>
    </xf>
    <xf numFmtId="0" fontId="83" fillId="34" borderId="25" xfId="0" applyFont="1" applyFill="1" applyBorder="1" applyAlignment="1">
      <alignment horizontal="left" vertical="center"/>
    </xf>
    <xf numFmtId="0" fontId="83" fillId="34" borderId="10" xfId="0" applyFont="1" applyFill="1" applyBorder="1" applyAlignment="1">
      <alignment horizontal="left" vertical="center"/>
    </xf>
    <xf numFmtId="0" fontId="83" fillId="34" borderId="24" xfId="0" applyFont="1" applyFill="1" applyBorder="1" applyAlignment="1">
      <alignment horizontal="left" vertical="center"/>
    </xf>
    <xf numFmtId="0" fontId="83" fillId="0" borderId="25" xfId="53" applyFont="1" applyBorder="1" applyAlignment="1">
      <alignment horizontal="left" wrapText="1"/>
      <protection/>
    </xf>
    <xf numFmtId="0" fontId="83" fillId="0" borderId="10" xfId="53" applyFont="1" applyBorder="1" applyAlignment="1">
      <alignment horizontal="left" wrapText="1"/>
      <protection/>
    </xf>
    <xf numFmtId="0" fontId="83" fillId="0" borderId="24" xfId="53" applyFont="1" applyBorder="1" applyAlignment="1">
      <alignment horizontal="left" wrapText="1"/>
      <protection/>
    </xf>
    <xf numFmtId="16" fontId="83" fillId="0" borderId="25" xfId="53" applyNumberFormat="1" applyFont="1" applyBorder="1" applyAlignment="1">
      <alignment horizontal="left" wrapText="1"/>
      <protection/>
    </xf>
    <xf numFmtId="16" fontId="83" fillId="0" borderId="10" xfId="53" applyNumberFormat="1" applyFont="1" applyBorder="1" applyAlignment="1">
      <alignment horizontal="left" wrapText="1"/>
      <protection/>
    </xf>
    <xf numFmtId="16" fontId="83" fillId="0" borderId="24" xfId="53" applyNumberFormat="1" applyFont="1" applyBorder="1" applyAlignment="1">
      <alignment horizontal="left" wrapText="1"/>
      <protection/>
    </xf>
    <xf numFmtId="0" fontId="83" fillId="0" borderId="21" xfId="53" applyFont="1" applyBorder="1" applyAlignment="1">
      <alignment horizontal="left" wrapText="1"/>
      <protection/>
    </xf>
    <xf numFmtId="0" fontId="83" fillId="0" borderId="25" xfId="53" applyFont="1" applyBorder="1" applyAlignment="1">
      <alignment horizontal="right" wrapText="1"/>
      <protection/>
    </xf>
    <xf numFmtId="0" fontId="0" fillId="0" borderId="10" xfId="53" applyBorder="1" applyAlignment="1">
      <alignment horizontal="right" wrapText="1"/>
      <protection/>
    </xf>
    <xf numFmtId="0" fontId="0" fillId="0" borderId="24" xfId="53" applyBorder="1" applyAlignment="1">
      <alignment horizontal="right" wrapText="1"/>
      <protection/>
    </xf>
    <xf numFmtId="0" fontId="83" fillId="0" borderId="21" xfId="0" applyFont="1" applyBorder="1" applyAlignment="1">
      <alignment horizontal="left" wrapText="1"/>
    </xf>
    <xf numFmtId="0" fontId="83" fillId="0" borderId="25" xfId="0" applyFont="1" applyBorder="1" applyAlignment="1">
      <alignment horizontal="left" wrapText="1"/>
    </xf>
    <xf numFmtId="0" fontId="83" fillId="0" borderId="10" xfId="0" applyFont="1" applyBorder="1" applyAlignment="1">
      <alignment horizontal="left" wrapText="1"/>
    </xf>
    <xf numFmtId="0" fontId="83" fillId="0" borderId="24" xfId="0" applyFont="1" applyBorder="1" applyAlignment="1">
      <alignment horizontal="left" wrapText="1"/>
    </xf>
    <xf numFmtId="0" fontId="82" fillId="0" borderId="11" xfId="0" applyFont="1" applyBorder="1" applyAlignment="1">
      <alignment horizontal="center" wrapText="1"/>
    </xf>
    <xf numFmtId="16" fontId="83" fillId="0" borderId="25" xfId="0" applyNumberFormat="1" applyFont="1" applyBorder="1" applyAlignment="1">
      <alignment horizontal="left" wrapText="1"/>
    </xf>
    <xf numFmtId="16" fontId="83" fillId="0" borderId="10" xfId="0" applyNumberFormat="1" applyFont="1" applyBorder="1" applyAlignment="1">
      <alignment horizontal="left" wrapText="1"/>
    </xf>
    <xf numFmtId="16" fontId="83" fillId="0" borderId="24" xfId="0" applyNumberFormat="1" applyFont="1" applyBorder="1" applyAlignment="1">
      <alignment horizontal="left" wrapText="1"/>
    </xf>
    <xf numFmtId="0" fontId="83" fillId="0" borderId="21" xfId="0" applyFont="1" applyBorder="1" applyAlignment="1">
      <alignment horizontal="center" wrapText="1"/>
    </xf>
    <xf numFmtId="0" fontId="0" fillId="0" borderId="10" xfId="53" applyBorder="1" applyAlignment="1">
      <alignment horizontal="center" vertical="center" wrapText="1"/>
      <protection/>
    </xf>
    <xf numFmtId="0" fontId="0" fillId="0" borderId="24" xfId="53" applyBorder="1" applyAlignment="1">
      <alignment horizontal="center" vertical="center" wrapText="1"/>
      <protection/>
    </xf>
    <xf numFmtId="0" fontId="0" fillId="0" borderId="10" xfId="53" applyBorder="1" applyAlignment="1">
      <alignment horizontal="center"/>
      <protection/>
    </xf>
    <xf numFmtId="0" fontId="0" fillId="0" borderId="24" xfId="53" applyBorder="1" applyAlignment="1">
      <alignment horizontal="center"/>
      <protection/>
    </xf>
    <xf numFmtId="0" fontId="83" fillId="0" borderId="25" xfId="53" applyFont="1" applyBorder="1" applyAlignment="1">
      <alignment horizontal="left" vertical="top" wrapText="1"/>
      <protection/>
    </xf>
    <xf numFmtId="0" fontId="0" fillId="0" borderId="10" xfId="53" applyBorder="1" applyAlignment="1">
      <alignment/>
      <protection/>
    </xf>
    <xf numFmtId="0" fontId="0" fillId="0" borderId="24" xfId="53" applyBorder="1" applyAlignment="1">
      <alignment/>
      <protection/>
    </xf>
    <xf numFmtId="0" fontId="0" fillId="0" borderId="10" xfId="53" applyBorder="1" applyAlignment="1">
      <alignment horizontal="right"/>
      <protection/>
    </xf>
    <xf numFmtId="0" fontId="0" fillId="0" borderId="24" xfId="53" applyBorder="1" applyAlignment="1">
      <alignment horizontal="right"/>
      <protection/>
    </xf>
    <xf numFmtId="0" fontId="0" fillId="0" borderId="0" xfId="53" applyAlignment="1">
      <alignment wrapText="1"/>
      <protection/>
    </xf>
    <xf numFmtId="0" fontId="82" fillId="0" borderId="0" xfId="53" applyFont="1" applyAlignment="1">
      <alignment horizontal="left" wrapText="1"/>
      <protection/>
    </xf>
    <xf numFmtId="0" fontId="83" fillId="0" borderId="24" xfId="53" applyFont="1" applyBorder="1" applyAlignment="1">
      <alignment horizontal="center" vertical="center" wrapText="1"/>
      <protection/>
    </xf>
    <xf numFmtId="0" fontId="83" fillId="0" borderId="24" xfId="53" applyFont="1" applyBorder="1" applyAlignment="1">
      <alignment horizontal="center"/>
      <protection/>
    </xf>
    <xf numFmtId="0" fontId="83" fillId="0" borderId="24" xfId="53" applyFont="1" applyBorder="1" applyAlignment="1">
      <alignment horizontal="left" vertical="top" wrapText="1"/>
      <protection/>
    </xf>
    <xf numFmtId="0" fontId="5" fillId="0" borderId="24" xfId="53" applyFont="1" applyBorder="1" applyAlignment="1">
      <alignment horizontal="left" vertical="top" wrapText="1"/>
      <protection/>
    </xf>
    <xf numFmtId="0" fontId="83" fillId="0" borderId="25" xfId="53" applyFont="1" applyBorder="1" applyAlignment="1">
      <alignment horizontal="left"/>
      <protection/>
    </xf>
    <xf numFmtId="0" fontId="83" fillId="0" borderId="24" xfId="53" applyFont="1" applyBorder="1" applyAlignment="1">
      <alignment horizontal="left"/>
      <protection/>
    </xf>
    <xf numFmtId="0" fontId="83" fillId="0" borderId="25" xfId="53" applyFont="1" applyBorder="1" applyAlignment="1">
      <alignment wrapText="1"/>
      <protection/>
    </xf>
    <xf numFmtId="0" fontId="0" fillId="0" borderId="24" xfId="53" applyBorder="1" applyAlignment="1">
      <alignment wrapText="1"/>
      <protection/>
    </xf>
    <xf numFmtId="0" fontId="83" fillId="0" borderId="10" xfId="53" applyFont="1" applyBorder="1" applyAlignment="1">
      <alignment horizontal="center" vertical="center" wrapText="1"/>
      <protection/>
    </xf>
    <xf numFmtId="0" fontId="83" fillId="0" borderId="10" xfId="53" applyFont="1" applyBorder="1" applyAlignment="1">
      <alignment horizontal="center"/>
      <protection/>
    </xf>
    <xf numFmtId="0" fontId="82" fillId="0" borderId="0" xfId="53" applyFont="1" applyBorder="1" applyAlignment="1">
      <alignment horizontal="left" vertical="center"/>
      <protection/>
    </xf>
    <xf numFmtId="0" fontId="0" fillId="0" borderId="0" xfId="53" applyAlignment="1">
      <alignment horizontal="left" vertical="center"/>
      <protection/>
    </xf>
    <xf numFmtId="0" fontId="87" fillId="0" borderId="0" xfId="53" applyFont="1" applyBorder="1" applyAlignment="1">
      <alignment horizontal="center"/>
      <protection/>
    </xf>
    <xf numFmtId="4" fontId="82" fillId="0" borderId="0" xfId="53" applyNumberFormat="1" applyFont="1" applyBorder="1" applyAlignment="1">
      <alignment horizontal="center"/>
      <protection/>
    </xf>
    <xf numFmtId="0" fontId="87" fillId="0" borderId="25" xfId="53" applyFont="1" applyBorder="1" applyAlignment="1">
      <alignment horizontal="center"/>
      <protection/>
    </xf>
    <xf numFmtId="0" fontId="87" fillId="0" borderId="10" xfId="53" applyFont="1" applyBorder="1" applyAlignment="1">
      <alignment horizontal="center"/>
      <protection/>
    </xf>
    <xf numFmtId="0" fontId="87" fillId="0" borderId="24" xfId="53" applyFont="1" applyBorder="1" applyAlignment="1">
      <alignment horizontal="center"/>
      <protection/>
    </xf>
    <xf numFmtId="0" fontId="83" fillId="0" borderId="10" xfId="53" applyFont="1" applyBorder="1" applyAlignment="1">
      <alignment horizontal="left" vertical="top" wrapText="1"/>
      <protection/>
    </xf>
    <xf numFmtId="0" fontId="0" fillId="0" borderId="26" xfId="53" applyBorder="1" applyAlignment="1">
      <alignment horizontal="center" textRotation="90" wrapText="1"/>
      <protection/>
    </xf>
    <xf numFmtId="0" fontId="0" fillId="0" borderId="27" xfId="53" applyBorder="1" applyAlignment="1">
      <alignment horizontal="center" textRotation="90" wrapText="1"/>
      <protection/>
    </xf>
    <xf numFmtId="0" fontId="83" fillId="0" borderId="25" xfId="53" applyFont="1" applyBorder="1" applyAlignment="1">
      <alignment horizontal="left" vertical="top"/>
      <protection/>
    </xf>
    <xf numFmtId="0" fontId="83" fillId="0" borderId="10" xfId="53" applyFont="1" applyBorder="1" applyAlignment="1">
      <alignment horizontal="left" vertical="top"/>
      <protection/>
    </xf>
    <xf numFmtId="0" fontId="0" fillId="0" borderId="24" xfId="53" applyBorder="1" applyAlignment="1">
      <alignment horizontal="left" vertical="top"/>
      <protection/>
    </xf>
    <xf numFmtId="0" fontId="83" fillId="0" borderId="10" xfId="53" applyFont="1" applyBorder="1" applyAlignment="1">
      <alignment horizontal="left"/>
      <protection/>
    </xf>
    <xf numFmtId="0" fontId="83" fillId="0" borderId="25" xfId="53" applyFont="1" applyBorder="1" applyAlignment="1">
      <alignment horizontal="right" vertical="top"/>
      <protection/>
    </xf>
    <xf numFmtId="0" fontId="83" fillId="0" borderId="10" xfId="53" applyFont="1" applyBorder="1" applyAlignment="1">
      <alignment horizontal="right" vertical="top"/>
      <protection/>
    </xf>
    <xf numFmtId="0" fontId="0" fillId="0" borderId="10" xfId="53" applyBorder="1" applyAlignment="1">
      <alignment horizontal="right" vertical="top"/>
      <protection/>
    </xf>
    <xf numFmtId="0" fontId="0" fillId="0" borderId="24" xfId="53" applyBorder="1" applyAlignment="1">
      <alignment horizontal="right" vertical="top"/>
      <protection/>
    </xf>
    <xf numFmtId="0" fontId="83" fillId="0" borderId="0" xfId="53" applyFont="1" applyBorder="1" applyAlignment="1">
      <alignment horizontal="center" vertical="center" wrapText="1"/>
      <protection/>
    </xf>
    <xf numFmtId="0" fontId="88" fillId="0" borderId="0" xfId="53" applyFont="1" applyBorder="1" applyAlignment="1">
      <alignment horizontal="left" vertical="center" wrapText="1"/>
      <protection/>
    </xf>
    <xf numFmtId="0" fontId="0" fillId="0" borderId="0" xfId="53" applyBorder="1" applyAlignment="1">
      <alignment horizontal="left" vertical="center" wrapText="1"/>
      <protection/>
    </xf>
    <xf numFmtId="4" fontId="94" fillId="0" borderId="0" xfId="53" applyNumberFormat="1" applyFont="1" applyBorder="1" applyAlignment="1">
      <alignment horizontal="center"/>
      <protection/>
    </xf>
    <xf numFmtId="0" fontId="94" fillId="0" borderId="0" xfId="53" applyFont="1" applyBorder="1" applyAlignment="1">
      <alignment horizontal="center"/>
      <protection/>
    </xf>
    <xf numFmtId="0" fontId="83" fillId="34" borderId="25"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0" fillId="34" borderId="24" xfId="53" applyFill="1" applyBorder="1" applyAlignment="1">
      <alignment horizontal="left" vertical="top" wrapText="1"/>
      <protection/>
    </xf>
    <xf numFmtId="0" fontId="88" fillId="34" borderId="28" xfId="53" applyFont="1" applyFill="1" applyBorder="1" applyAlignment="1">
      <alignment horizontal="center" textRotation="90" wrapText="1"/>
      <protection/>
    </xf>
    <xf numFmtId="0" fontId="0" fillId="34" borderId="26" xfId="53" applyFill="1" applyBorder="1" applyAlignment="1">
      <alignment horizontal="center" textRotation="90" wrapText="1"/>
      <protection/>
    </xf>
    <xf numFmtId="0" fontId="83" fillId="34" borderId="21" xfId="53" applyFont="1" applyFill="1" applyBorder="1" applyAlignment="1">
      <alignment horizontal="center"/>
      <protection/>
    </xf>
    <xf numFmtId="0" fontId="0" fillId="34" borderId="21" xfId="53" applyFill="1" applyBorder="1" applyAlignment="1">
      <alignment horizontal="center"/>
      <protection/>
    </xf>
    <xf numFmtId="0" fontId="83" fillId="34" borderId="25" xfId="53" applyFont="1" applyFill="1" applyBorder="1" applyAlignment="1">
      <alignment horizontal="left" vertical="top"/>
      <protection/>
    </xf>
    <xf numFmtId="0" fontId="83" fillId="34" borderId="10" xfId="53" applyFont="1" applyFill="1" applyBorder="1" applyAlignment="1">
      <alignment horizontal="left" vertical="top"/>
      <protection/>
    </xf>
    <xf numFmtId="0" fontId="0" fillId="34" borderId="24" xfId="53" applyFill="1" applyBorder="1" applyAlignment="1">
      <alignment horizontal="left" vertical="top"/>
      <protection/>
    </xf>
    <xf numFmtId="0" fontId="0" fillId="34" borderId="10" xfId="53" applyFill="1" applyBorder="1" applyAlignment="1">
      <alignment horizontal="left" vertical="top" wrapText="1"/>
      <protection/>
    </xf>
    <xf numFmtId="0" fontId="83" fillId="34" borderId="25" xfId="53" applyFont="1" applyFill="1" applyBorder="1" applyAlignment="1">
      <alignment horizontal="left"/>
      <protection/>
    </xf>
    <xf numFmtId="0" fontId="83" fillId="34" borderId="10" xfId="53" applyFont="1" applyFill="1" applyBorder="1" applyAlignment="1">
      <alignment horizontal="left"/>
      <protection/>
    </xf>
    <xf numFmtId="0" fontId="83" fillId="34" borderId="24" xfId="53" applyFont="1" applyFill="1" applyBorder="1" applyAlignment="1">
      <alignment horizontal="left"/>
      <protection/>
    </xf>
    <xf numFmtId="0" fontId="82" fillId="34" borderId="10" xfId="53" applyFont="1" applyFill="1" applyBorder="1" applyAlignment="1">
      <alignment horizontal="center"/>
      <protection/>
    </xf>
    <xf numFmtId="0" fontId="83" fillId="34" borderId="25" xfId="53" applyFont="1" applyFill="1" applyBorder="1" applyAlignment="1">
      <alignment horizontal="center" vertical="center"/>
      <protection/>
    </xf>
    <xf numFmtId="0" fontId="83" fillId="34" borderId="10" xfId="53" applyFont="1" applyFill="1" applyBorder="1" applyAlignment="1">
      <alignment horizontal="center" vertical="center"/>
      <protection/>
    </xf>
    <xf numFmtId="0" fontId="83" fillId="34" borderId="24" xfId="53" applyFont="1" applyFill="1" applyBorder="1" applyAlignment="1">
      <alignment horizontal="center" vertical="center"/>
      <protection/>
    </xf>
    <xf numFmtId="0" fontId="87" fillId="34" borderId="25" xfId="53" applyFont="1" applyFill="1" applyBorder="1" applyAlignment="1">
      <alignment horizontal="center"/>
      <protection/>
    </xf>
    <xf numFmtId="0" fontId="87" fillId="34" borderId="10" xfId="53" applyFont="1" applyFill="1" applyBorder="1" applyAlignment="1">
      <alignment horizontal="center"/>
      <protection/>
    </xf>
    <xf numFmtId="0" fontId="87" fillId="34" borderId="24" xfId="53" applyFont="1" applyFill="1" applyBorder="1" applyAlignment="1">
      <alignment horizontal="center"/>
      <protection/>
    </xf>
    <xf numFmtId="0" fontId="83" fillId="34" borderId="25" xfId="53" applyFont="1" applyFill="1" applyBorder="1" applyAlignment="1">
      <alignment horizontal="left" vertical="center" wrapText="1"/>
      <protection/>
    </xf>
    <xf numFmtId="0" fontId="83" fillId="34" borderId="10" xfId="53" applyFont="1" applyFill="1" applyBorder="1" applyAlignment="1">
      <alignment horizontal="left" vertical="center" wrapText="1"/>
      <protection/>
    </xf>
    <xf numFmtId="0" fontId="83" fillId="34" borderId="24" xfId="53" applyFont="1" applyFill="1" applyBorder="1" applyAlignment="1">
      <alignment horizontal="left" vertical="center" wrapText="1"/>
      <protection/>
    </xf>
    <xf numFmtId="0" fontId="83" fillId="34" borderId="24" xfId="53" applyFont="1" applyFill="1" applyBorder="1" applyAlignment="1">
      <alignment horizontal="left" vertical="top" wrapText="1"/>
      <protection/>
    </xf>
    <xf numFmtId="0" fontId="82" fillId="34" borderId="11" xfId="53" applyFont="1" applyFill="1" applyBorder="1" applyAlignment="1">
      <alignment horizontal="center"/>
      <protection/>
    </xf>
    <xf numFmtId="0" fontId="92" fillId="34" borderId="25" xfId="53" applyFont="1" applyFill="1" applyBorder="1" applyAlignment="1">
      <alignment horizontal="center"/>
      <protection/>
    </xf>
    <xf numFmtId="0" fontId="92" fillId="34" borderId="10" xfId="53" applyFont="1" applyFill="1" applyBorder="1" applyAlignment="1">
      <alignment horizontal="center"/>
      <protection/>
    </xf>
    <xf numFmtId="0" fontId="92" fillId="34" borderId="24"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0" fillId="34" borderId="22" xfId="53" applyFont="1" applyFill="1" applyBorder="1" applyAlignment="1">
      <alignment/>
      <protection/>
    </xf>
    <xf numFmtId="0" fontId="0" fillId="34" borderId="22" xfId="53" applyFill="1" applyBorder="1" applyAlignment="1">
      <alignment/>
      <protection/>
    </xf>
    <xf numFmtId="0" fontId="83" fillId="34" borderId="25" xfId="53" applyFont="1" applyFill="1" applyBorder="1" applyAlignment="1">
      <alignment horizontal="right"/>
      <protection/>
    </xf>
    <xf numFmtId="0" fontId="83" fillId="34" borderId="10" xfId="53" applyFont="1" applyFill="1" applyBorder="1" applyAlignment="1">
      <alignment horizontal="right"/>
      <protection/>
    </xf>
    <xf numFmtId="0" fontId="83" fillId="34" borderId="24" xfId="53" applyFont="1" applyFill="1" applyBorder="1" applyAlignment="1">
      <alignment horizontal="right"/>
      <protection/>
    </xf>
    <xf numFmtId="0" fontId="88" fillId="34" borderId="0" xfId="53" applyFont="1" applyFill="1" applyAlignment="1">
      <alignment horizontal="left" wrapText="1"/>
      <protection/>
    </xf>
    <xf numFmtId="0" fontId="0" fillId="34" borderId="0" xfId="53" applyFill="1" applyAlignment="1">
      <alignment horizontal="left" wrapText="1"/>
      <protection/>
    </xf>
    <xf numFmtId="0" fontId="93" fillId="34" borderId="11" xfId="53" applyFont="1" applyFill="1" applyBorder="1" applyAlignment="1">
      <alignment horizontal="center" vertical="center" wrapText="1"/>
      <protection/>
    </xf>
    <xf numFmtId="0" fontId="0" fillId="34" borderId="11" xfId="53" applyFill="1" applyBorder="1" applyAlignment="1">
      <alignment horizontal="center" vertical="center" wrapText="1"/>
      <protection/>
    </xf>
    <xf numFmtId="0" fontId="93" fillId="34" borderId="11" xfId="53" applyFont="1" applyFill="1" applyBorder="1" applyAlignment="1">
      <alignment horizontal="left" vertical="center" wrapText="1"/>
      <protection/>
    </xf>
    <xf numFmtId="0" fontId="0" fillId="34" borderId="11" xfId="53" applyFill="1" applyBorder="1" applyAlignment="1">
      <alignment vertical="center" wrapText="1"/>
      <protection/>
    </xf>
    <xf numFmtId="0" fontId="27" fillId="34" borderId="0" xfId="53" applyFont="1" applyFill="1" applyBorder="1" applyAlignment="1">
      <alignment horizontal="left" wrapText="1"/>
      <protection/>
    </xf>
    <xf numFmtId="0" fontId="0" fillId="34" borderId="0" xfId="53" applyFill="1" applyBorder="1" applyAlignment="1">
      <alignment/>
      <protection/>
    </xf>
    <xf numFmtId="0" fontId="92" fillId="34" borderId="21" xfId="53" applyFont="1" applyFill="1" applyBorder="1" applyAlignment="1">
      <alignment horizontal="center"/>
      <protection/>
    </xf>
    <xf numFmtId="0" fontId="1" fillId="34" borderId="21" xfId="53" applyFont="1" applyFill="1" applyBorder="1" applyAlignment="1">
      <alignment horizontal="center"/>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4" xfId="55"/>
    <cellStyle name="Обычный_внебюджрасчеты под факт" xfId="56"/>
    <cellStyle name="Обычный_ЗАЯВКА2008_090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_2021%20-29.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1"/>
      <sheetName val="Раздел2"/>
      <sheetName val="Доходы 130"/>
      <sheetName val="ЗП МЗ"/>
      <sheetName val="ЗП ИЦ"/>
      <sheetName val="ПВ МЗ"/>
      <sheetName val="ПВ ИЦ"/>
      <sheetName val="НЧ МЗ"/>
      <sheetName val="НЧ ИЦ"/>
      <sheetName val="290 МЗ"/>
      <sheetName val="244,247 МЗ"/>
      <sheetName val="244 МЗ (2)"/>
      <sheetName val="244 МЗ (3)"/>
      <sheetName val="244 ИЦ"/>
    </sheetNames>
    <sheetDataSet>
      <sheetData sheetId="10">
        <row r="17">
          <cell r="G17">
            <v>85377</v>
          </cell>
        </row>
        <row r="37">
          <cell r="G37">
            <v>168589.34</v>
          </cell>
        </row>
      </sheetData>
      <sheetData sheetId="11">
        <row r="30">
          <cell r="G30">
            <v>417399.99999999994</v>
          </cell>
        </row>
        <row r="47">
          <cell r="G47">
            <v>470541.82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X123"/>
  <sheetViews>
    <sheetView showGridLines="0" view="pageBreakPreview" zoomScaleSheetLayoutView="100" zoomScalePageLayoutView="0" workbookViewId="0" topLeftCell="B32">
      <selection activeCell="AW58" sqref="AW58:BC58"/>
    </sheetView>
  </sheetViews>
  <sheetFormatPr defaultColWidth="2" defaultRowHeight="12.75"/>
  <cols>
    <col min="1" max="56" width="2" style="0" customWidth="1"/>
    <col min="57" max="57" width="3" style="0" customWidth="1"/>
  </cols>
  <sheetData>
    <row r="1" spans="55:76" ht="13.5" customHeight="1">
      <c r="BC1" s="433" t="s">
        <v>52</v>
      </c>
      <c r="BD1" s="433"/>
      <c r="BE1" s="433"/>
      <c r="BF1" s="433"/>
      <c r="BG1" s="433"/>
      <c r="BH1" s="433"/>
      <c r="BI1" s="433"/>
      <c r="BJ1" s="433"/>
      <c r="BK1" s="433"/>
      <c r="BL1" s="433"/>
      <c r="BM1" s="433"/>
      <c r="BN1" s="433"/>
      <c r="BO1" s="433"/>
      <c r="BP1" s="433"/>
      <c r="BQ1" s="433"/>
      <c r="BR1" s="433"/>
      <c r="BS1" s="433"/>
      <c r="BT1" s="433"/>
      <c r="BU1" s="433"/>
      <c r="BV1" s="433"/>
      <c r="BW1" s="433"/>
      <c r="BX1" s="433"/>
    </row>
    <row r="2" spans="55:76" ht="13.5" customHeight="1">
      <c r="BC2" s="382" t="s">
        <v>290</v>
      </c>
      <c r="BD2" s="383"/>
      <c r="BE2" s="383"/>
      <c r="BF2" s="383"/>
      <c r="BG2" s="383"/>
      <c r="BH2" s="383"/>
      <c r="BI2" s="383"/>
      <c r="BJ2" s="383"/>
      <c r="BK2" s="383"/>
      <c r="BL2" s="383"/>
      <c r="BM2" s="383"/>
      <c r="BN2" s="383"/>
      <c r="BO2" s="383"/>
      <c r="BP2" s="383"/>
      <c r="BQ2" s="383"/>
      <c r="BR2" s="383"/>
      <c r="BS2" s="383"/>
      <c r="BT2" s="383"/>
      <c r="BU2" s="383"/>
      <c r="BV2" s="383"/>
      <c r="BW2" s="383"/>
      <c r="BX2" s="383"/>
    </row>
    <row r="3" spans="55:76" ht="13.5" customHeight="1">
      <c r="BC3" s="426" t="s">
        <v>53</v>
      </c>
      <c r="BD3" s="434"/>
      <c r="BE3" s="434"/>
      <c r="BF3" s="434"/>
      <c r="BG3" s="434"/>
      <c r="BH3" s="434"/>
      <c r="BI3" s="434"/>
      <c r="BJ3" s="434"/>
      <c r="BK3" s="434"/>
      <c r="BL3" s="434"/>
      <c r="BM3" s="434"/>
      <c r="BN3" s="434"/>
      <c r="BO3" s="434"/>
      <c r="BP3" s="434"/>
      <c r="BQ3" s="434"/>
      <c r="BR3" s="434"/>
      <c r="BS3" s="434"/>
      <c r="BT3" s="434"/>
      <c r="BU3" s="434"/>
      <c r="BV3" s="434"/>
      <c r="BW3" s="434"/>
      <c r="BX3" s="434"/>
    </row>
    <row r="4" spans="55:76" ht="13.5" customHeight="1">
      <c r="BC4" s="412" t="s">
        <v>291</v>
      </c>
      <c r="BD4" s="411"/>
      <c r="BE4" s="411"/>
      <c r="BF4" s="411"/>
      <c r="BG4" s="411"/>
      <c r="BH4" s="411"/>
      <c r="BI4" s="411"/>
      <c r="BJ4" s="411"/>
      <c r="BK4" s="411"/>
      <c r="BL4" s="411"/>
      <c r="BM4" s="411"/>
      <c r="BN4" s="411"/>
      <c r="BO4" s="411"/>
      <c r="BP4" s="411"/>
      <c r="BQ4" s="411"/>
      <c r="BR4" s="411"/>
      <c r="BS4" s="411"/>
      <c r="BT4" s="411"/>
      <c r="BU4" s="411"/>
      <c r="BV4" s="411"/>
      <c r="BW4" s="411"/>
      <c r="BX4" s="411"/>
    </row>
    <row r="5" spans="55:76" ht="13.5" customHeight="1">
      <c r="BC5" s="426" t="s">
        <v>292</v>
      </c>
      <c r="BD5" s="426"/>
      <c r="BE5" s="426"/>
      <c r="BF5" s="426"/>
      <c r="BG5" s="426"/>
      <c r="BH5" s="426"/>
      <c r="BI5" s="426"/>
      <c r="BJ5" s="426"/>
      <c r="BK5" s="426"/>
      <c r="BL5" s="426"/>
      <c r="BM5" s="426"/>
      <c r="BN5" s="426"/>
      <c r="BO5" s="426"/>
      <c r="BP5" s="426"/>
      <c r="BQ5" s="426"/>
      <c r="BR5" s="426"/>
      <c r="BS5" s="426"/>
      <c r="BT5" s="426"/>
      <c r="BU5" s="426"/>
      <c r="BV5" s="426"/>
      <c r="BW5" s="426"/>
      <c r="BX5" s="426"/>
    </row>
    <row r="6" spans="56:75" ht="13.5" customHeight="1">
      <c r="BD6" s="411"/>
      <c r="BE6" s="411"/>
      <c r="BF6" s="411"/>
      <c r="BG6" s="411"/>
      <c r="BH6" s="411"/>
      <c r="BI6" s="411"/>
      <c r="BJ6" s="411"/>
      <c r="BK6" s="411"/>
      <c r="BL6" s="1"/>
      <c r="BM6" s="412" t="s">
        <v>564</v>
      </c>
      <c r="BN6" s="411"/>
      <c r="BO6" s="411"/>
      <c r="BP6" s="411"/>
      <c r="BQ6" s="411"/>
      <c r="BR6" s="411"/>
      <c r="BS6" s="411"/>
      <c r="BT6" s="411"/>
      <c r="BU6" s="411"/>
      <c r="BV6" s="411"/>
      <c r="BW6" s="411"/>
    </row>
    <row r="7" spans="56:75" ht="13.5" customHeight="1">
      <c r="BD7" s="426" t="s">
        <v>54</v>
      </c>
      <c r="BE7" s="426"/>
      <c r="BF7" s="426"/>
      <c r="BG7" s="426"/>
      <c r="BH7" s="426"/>
      <c r="BI7" s="426"/>
      <c r="BJ7" s="426"/>
      <c r="BK7" s="426"/>
      <c r="BL7" s="37"/>
      <c r="BM7" s="426" t="s">
        <v>55</v>
      </c>
      <c r="BN7" s="426"/>
      <c r="BO7" s="426"/>
      <c r="BP7" s="426"/>
      <c r="BQ7" s="426"/>
      <c r="BR7" s="426"/>
      <c r="BS7" s="426"/>
      <c r="BT7" s="426"/>
      <c r="BU7" s="426"/>
      <c r="BV7" s="426"/>
      <c r="BW7" s="426"/>
    </row>
    <row r="8" spans="55:71" ht="11.25" customHeight="1">
      <c r="BC8" t="s">
        <v>56</v>
      </c>
      <c r="BD8" s="411"/>
      <c r="BE8" s="411"/>
      <c r="BF8" t="s">
        <v>56</v>
      </c>
      <c r="BG8" s="411"/>
      <c r="BH8" s="411"/>
      <c r="BI8" s="411"/>
      <c r="BJ8" s="411"/>
      <c r="BK8" s="411"/>
      <c r="BL8" s="411"/>
      <c r="BM8" s="411"/>
      <c r="BN8" s="411"/>
      <c r="BO8" s="384">
        <v>20</v>
      </c>
      <c r="BP8" s="384"/>
      <c r="BQ8" s="411"/>
      <c r="BR8" s="411"/>
      <c r="BS8" t="s">
        <v>57</v>
      </c>
    </row>
    <row r="9" ht="15">
      <c r="AI9" s="3"/>
    </row>
    <row r="10" spans="1:76" ht="14.25" customHeight="1">
      <c r="A10" s="414" t="s">
        <v>0</v>
      </c>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3" t="s">
        <v>294</v>
      </c>
      <c r="AZ10" s="413"/>
      <c r="BA10" s="2" t="s">
        <v>57</v>
      </c>
      <c r="BF10" s="2"/>
      <c r="BG10" s="2"/>
      <c r="BH10" s="2"/>
      <c r="BI10" s="2"/>
      <c r="BJ10" s="2"/>
      <c r="BK10" s="2"/>
      <c r="BL10" s="2"/>
      <c r="BM10" s="2"/>
      <c r="BN10" s="2"/>
      <c r="BO10" s="2"/>
      <c r="BP10" s="2"/>
      <c r="BQ10" s="428" t="s">
        <v>5</v>
      </c>
      <c r="BR10" s="428"/>
      <c r="BS10" s="428"/>
      <c r="BT10" s="428"/>
      <c r="BU10" s="428"/>
      <c r="BV10" s="428"/>
      <c r="BW10" s="428"/>
      <c r="BX10" s="428"/>
    </row>
    <row r="11" spans="24:76" ht="15.75" customHeight="1" thickBot="1">
      <c r="X11" s="414" t="s">
        <v>1</v>
      </c>
      <c r="Y11" s="414"/>
      <c r="Z11" s="414"/>
      <c r="AA11" s="414"/>
      <c r="AB11" s="411" t="s">
        <v>294</v>
      </c>
      <c r="AC11" s="411"/>
      <c r="AD11" s="27" t="s">
        <v>2</v>
      </c>
      <c r="AF11" s="29"/>
      <c r="AG11" s="29"/>
      <c r="AH11" s="29"/>
      <c r="AI11" s="29"/>
      <c r="AJ11" s="29"/>
      <c r="AK11" s="29"/>
      <c r="AL11" s="29"/>
      <c r="AM11" s="29"/>
      <c r="AN11" s="29"/>
      <c r="AO11" s="29"/>
      <c r="AQ11" s="411" t="s">
        <v>295</v>
      </c>
      <c r="AR11" s="411"/>
      <c r="AS11" s="27" t="s">
        <v>3</v>
      </c>
      <c r="AU11" s="30"/>
      <c r="AV11" s="411" t="s">
        <v>555</v>
      </c>
      <c r="AW11" s="411"/>
      <c r="AX11" s="427" t="s">
        <v>4</v>
      </c>
      <c r="AY11" s="427"/>
      <c r="AZ11" s="427"/>
      <c r="BA11" s="427"/>
      <c r="BB11" s="427"/>
      <c r="BQ11" s="429"/>
      <c r="BR11" s="429"/>
      <c r="BS11" s="429"/>
      <c r="BT11" s="429"/>
      <c r="BU11" s="429"/>
      <c r="BV11" s="429"/>
      <c r="BW11" s="429"/>
      <c r="BX11" s="429"/>
    </row>
    <row r="12" spans="31:76" ht="15.75">
      <c r="AE12" t="s">
        <v>16</v>
      </c>
      <c r="AG12" s="412" t="s">
        <v>571</v>
      </c>
      <c r="AH12" s="411"/>
      <c r="AI12" t="s">
        <v>56</v>
      </c>
      <c r="AJ12" s="382" t="s">
        <v>563</v>
      </c>
      <c r="AK12" s="383"/>
      <c r="AL12" s="383"/>
      <c r="AM12" s="383"/>
      <c r="AN12" s="383"/>
      <c r="AO12" s="383"/>
      <c r="AP12" s="383"/>
      <c r="AQ12" s="383"/>
      <c r="AR12" s="384">
        <v>20</v>
      </c>
      <c r="AS12" s="384"/>
      <c r="AT12" s="411" t="s">
        <v>294</v>
      </c>
      <c r="AU12" s="411"/>
      <c r="AV12" s="384" t="s">
        <v>17</v>
      </c>
      <c r="AW12" s="384"/>
      <c r="BF12" s="421" t="s">
        <v>6</v>
      </c>
      <c r="BG12" s="421"/>
      <c r="BH12" s="421"/>
      <c r="BI12" s="421"/>
      <c r="BJ12" s="421"/>
      <c r="BK12" s="421"/>
      <c r="BL12" s="421"/>
      <c r="BM12" s="421"/>
      <c r="BN12" s="421"/>
      <c r="BO12" s="421"/>
      <c r="BP12" s="422"/>
      <c r="BQ12" s="430" t="s">
        <v>572</v>
      </c>
      <c r="BR12" s="431"/>
      <c r="BS12" s="431"/>
      <c r="BT12" s="431"/>
      <c r="BU12" s="431"/>
      <c r="BV12" s="431"/>
      <c r="BW12" s="431"/>
      <c r="BX12" s="432"/>
    </row>
    <row r="13" spans="1:76" ht="12.75">
      <c r="A13" s="5" t="s">
        <v>14</v>
      </c>
      <c r="BF13" s="421" t="s">
        <v>7</v>
      </c>
      <c r="BG13" s="421"/>
      <c r="BH13" s="421"/>
      <c r="BI13" s="421"/>
      <c r="BJ13" s="421"/>
      <c r="BK13" s="421"/>
      <c r="BL13" s="421"/>
      <c r="BM13" s="421"/>
      <c r="BN13" s="421"/>
      <c r="BO13" s="421"/>
      <c r="BP13" s="422"/>
      <c r="BQ13" s="415" t="s">
        <v>298</v>
      </c>
      <c r="BR13" s="416"/>
      <c r="BS13" s="416"/>
      <c r="BT13" s="416"/>
      <c r="BU13" s="416"/>
      <c r="BV13" s="416"/>
      <c r="BW13" s="416"/>
      <c r="BX13" s="417"/>
    </row>
    <row r="14" spans="1:76" ht="12.75">
      <c r="A14" s="5" t="s">
        <v>13</v>
      </c>
      <c r="N14" s="412" t="s">
        <v>296</v>
      </c>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c r="AZ14" s="411"/>
      <c r="BA14" s="411"/>
      <c r="BB14" s="411"/>
      <c r="BC14" s="411"/>
      <c r="BD14" s="411"/>
      <c r="BE14" s="411"/>
      <c r="BF14" s="423" t="s">
        <v>8</v>
      </c>
      <c r="BG14" s="423"/>
      <c r="BH14" s="423"/>
      <c r="BI14" s="423"/>
      <c r="BJ14" s="423"/>
      <c r="BK14" s="423"/>
      <c r="BL14" s="423"/>
      <c r="BM14" s="423"/>
      <c r="BN14" s="423"/>
      <c r="BO14" s="423"/>
      <c r="BP14" s="424"/>
      <c r="BQ14" s="408" t="s">
        <v>299</v>
      </c>
      <c r="BR14" s="409"/>
      <c r="BS14" s="409"/>
      <c r="BT14" s="409"/>
      <c r="BU14" s="409"/>
      <c r="BV14" s="409"/>
      <c r="BW14" s="409"/>
      <c r="BX14" s="410"/>
    </row>
    <row r="15" spans="58:76" ht="12.75">
      <c r="BF15" s="425" t="s">
        <v>7</v>
      </c>
      <c r="BG15" s="425"/>
      <c r="BH15" s="425"/>
      <c r="BI15" s="425"/>
      <c r="BJ15" s="425"/>
      <c r="BK15" s="425"/>
      <c r="BL15" s="425"/>
      <c r="BM15" s="425"/>
      <c r="BN15" s="425"/>
      <c r="BO15" s="425"/>
      <c r="BP15" s="407"/>
      <c r="BQ15" s="408" t="s">
        <v>300</v>
      </c>
      <c r="BR15" s="409"/>
      <c r="BS15" s="409"/>
      <c r="BT15" s="409"/>
      <c r="BU15" s="409"/>
      <c r="BV15" s="409"/>
      <c r="BW15" s="409"/>
      <c r="BX15" s="410"/>
    </row>
    <row r="16" spans="58:76" ht="12.75">
      <c r="BF16" s="407" t="s">
        <v>9</v>
      </c>
      <c r="BG16" s="407"/>
      <c r="BH16" s="407"/>
      <c r="BI16" s="407"/>
      <c r="BJ16" s="407"/>
      <c r="BK16" s="407"/>
      <c r="BL16" s="407"/>
      <c r="BM16" s="407"/>
      <c r="BN16" s="407"/>
      <c r="BO16" s="407"/>
      <c r="BP16" s="407"/>
      <c r="BQ16" s="408" t="s">
        <v>301</v>
      </c>
      <c r="BR16" s="409"/>
      <c r="BS16" s="409"/>
      <c r="BT16" s="409"/>
      <c r="BU16" s="409"/>
      <c r="BV16" s="409"/>
      <c r="BW16" s="409"/>
      <c r="BX16" s="410"/>
    </row>
    <row r="17" spans="1:76" ht="12.75">
      <c r="A17" s="5" t="s">
        <v>12</v>
      </c>
      <c r="H17" s="412" t="s">
        <v>297</v>
      </c>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07" t="s">
        <v>10</v>
      </c>
      <c r="BG17" s="407"/>
      <c r="BH17" s="407"/>
      <c r="BI17" s="407"/>
      <c r="BJ17" s="407"/>
      <c r="BK17" s="407"/>
      <c r="BL17" s="407"/>
      <c r="BM17" s="407"/>
      <c r="BN17" s="407"/>
      <c r="BO17" s="407"/>
      <c r="BP17" s="407"/>
      <c r="BQ17" s="408" t="s">
        <v>302</v>
      </c>
      <c r="BR17" s="409"/>
      <c r="BS17" s="409"/>
      <c r="BT17" s="409"/>
      <c r="BU17" s="409"/>
      <c r="BV17" s="409"/>
      <c r="BW17" s="409"/>
      <c r="BX17" s="410"/>
    </row>
    <row r="18" spans="1:76" ht="13.5" thickBot="1">
      <c r="A18" s="5" t="s">
        <v>15</v>
      </c>
      <c r="BF18" s="407" t="s">
        <v>11</v>
      </c>
      <c r="BG18" s="407"/>
      <c r="BH18" s="407"/>
      <c r="BI18" s="407"/>
      <c r="BJ18" s="407"/>
      <c r="BK18" s="407"/>
      <c r="BL18" s="407"/>
      <c r="BM18" s="407"/>
      <c r="BN18" s="407"/>
      <c r="BO18" s="407"/>
      <c r="BP18" s="407"/>
      <c r="BQ18" s="418">
        <v>383</v>
      </c>
      <c r="BR18" s="419"/>
      <c r="BS18" s="419"/>
      <c r="BT18" s="419"/>
      <c r="BU18" s="419"/>
      <c r="BV18" s="419"/>
      <c r="BW18" s="419"/>
      <c r="BX18" s="420"/>
    </row>
    <row r="19" spans="1:76" ht="12.75">
      <c r="A19" s="390" t="s">
        <v>18</v>
      </c>
      <c r="B19" s="390"/>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c r="BE19" s="390"/>
      <c r="BF19" s="390"/>
      <c r="BG19" s="390"/>
      <c r="BH19" s="390"/>
      <c r="BI19" s="390"/>
      <c r="BJ19" s="390"/>
      <c r="BK19" s="390"/>
      <c r="BL19" s="390"/>
      <c r="BM19" s="390"/>
      <c r="BN19" s="390"/>
      <c r="BO19" s="390"/>
      <c r="BP19" s="390"/>
      <c r="BQ19" s="390"/>
      <c r="BR19" s="390"/>
      <c r="BS19" s="390"/>
      <c r="BT19" s="390"/>
      <c r="BU19" s="390"/>
      <c r="BV19" s="390"/>
      <c r="BW19" s="390"/>
      <c r="BX19" s="390"/>
    </row>
    <row r="20" spans="1:76" s="6" customFormat="1" ht="17.25" customHeight="1">
      <c r="A20" s="403" t="s">
        <v>19</v>
      </c>
      <c r="B20" s="403"/>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4"/>
      <c r="AF20" s="385" t="s">
        <v>20</v>
      </c>
      <c r="AG20" s="385"/>
      <c r="AH20" s="385"/>
      <c r="AI20" s="385"/>
      <c r="AJ20" s="385" t="s">
        <v>203</v>
      </c>
      <c r="AK20" s="385"/>
      <c r="AL20" s="385"/>
      <c r="AM20" s="385"/>
      <c r="AN20" s="385"/>
      <c r="AO20" s="385"/>
      <c r="AP20" s="385"/>
      <c r="AQ20" s="385"/>
      <c r="AR20" s="385" t="s">
        <v>204</v>
      </c>
      <c r="AS20" s="385"/>
      <c r="AT20" s="385"/>
      <c r="AU20" s="385"/>
      <c r="AV20" s="385"/>
      <c r="AW20" s="386" t="s">
        <v>21</v>
      </c>
      <c r="AX20" s="387"/>
      <c r="AY20" s="387"/>
      <c r="AZ20" s="387"/>
      <c r="BA20" s="387"/>
      <c r="BB20" s="387"/>
      <c r="BC20" s="387"/>
      <c r="BD20" s="387"/>
      <c r="BE20" s="387"/>
      <c r="BF20" s="387"/>
      <c r="BG20" s="387"/>
      <c r="BH20" s="387"/>
      <c r="BI20" s="387"/>
      <c r="BJ20" s="387"/>
      <c r="BK20" s="387"/>
      <c r="BL20" s="387"/>
      <c r="BM20" s="387"/>
      <c r="BN20" s="387"/>
      <c r="BO20" s="387"/>
      <c r="BP20" s="387"/>
      <c r="BQ20" s="387"/>
      <c r="BR20" s="387"/>
      <c r="BS20" s="387"/>
      <c r="BT20" s="387"/>
      <c r="BU20" s="387"/>
      <c r="BV20" s="387"/>
      <c r="BW20" s="387"/>
      <c r="BX20" s="387"/>
    </row>
    <row r="21" spans="1:76" s="6" customFormat="1" ht="16.5" customHeight="1">
      <c r="A21" s="405"/>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6"/>
      <c r="AF21" s="385"/>
      <c r="AG21" s="385"/>
      <c r="AH21" s="385"/>
      <c r="AI21" s="385"/>
      <c r="AJ21" s="385"/>
      <c r="AK21" s="385"/>
      <c r="AL21" s="385"/>
      <c r="AM21" s="385"/>
      <c r="AN21" s="385"/>
      <c r="AO21" s="385"/>
      <c r="AP21" s="385"/>
      <c r="AQ21" s="385"/>
      <c r="AR21" s="385"/>
      <c r="AS21" s="385"/>
      <c r="AT21" s="385"/>
      <c r="AU21" s="385"/>
      <c r="AV21" s="385"/>
      <c r="AW21" s="376" t="s">
        <v>22</v>
      </c>
      <c r="AX21" s="377"/>
      <c r="AY21" s="377"/>
      <c r="AZ21" s="378" t="s">
        <v>294</v>
      </c>
      <c r="BA21" s="378"/>
      <c r="BB21" s="399" t="s">
        <v>57</v>
      </c>
      <c r="BC21" s="400"/>
      <c r="BD21" s="391" t="s">
        <v>22</v>
      </c>
      <c r="BE21" s="391"/>
      <c r="BF21" s="391"/>
      <c r="BG21" s="392" t="s">
        <v>295</v>
      </c>
      <c r="BH21" s="392"/>
      <c r="BI21" s="393" t="s">
        <v>57</v>
      </c>
      <c r="BJ21" s="393"/>
      <c r="BK21" s="376" t="s">
        <v>22</v>
      </c>
      <c r="BL21" s="377"/>
      <c r="BM21" s="377"/>
      <c r="BN21" s="378" t="s">
        <v>555</v>
      </c>
      <c r="BO21" s="378"/>
      <c r="BP21" s="399" t="s">
        <v>57</v>
      </c>
      <c r="BQ21" s="400"/>
      <c r="BR21" s="388" t="s">
        <v>24</v>
      </c>
      <c r="BS21" s="388"/>
      <c r="BT21" s="388"/>
      <c r="BU21" s="388"/>
      <c r="BV21" s="388"/>
      <c r="BW21" s="388"/>
      <c r="BX21" s="388"/>
    </row>
    <row r="22" spans="1:76" s="6" customFormat="1" ht="39" customHeight="1">
      <c r="A22" s="394"/>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8"/>
      <c r="AF22" s="385"/>
      <c r="AG22" s="385"/>
      <c r="AH22" s="385"/>
      <c r="AI22" s="385"/>
      <c r="AJ22" s="385"/>
      <c r="AK22" s="385"/>
      <c r="AL22" s="385"/>
      <c r="AM22" s="385"/>
      <c r="AN22" s="385"/>
      <c r="AO22" s="385"/>
      <c r="AP22" s="385"/>
      <c r="AQ22" s="385"/>
      <c r="AR22" s="385"/>
      <c r="AS22" s="385"/>
      <c r="AT22" s="385"/>
      <c r="AU22" s="385"/>
      <c r="AV22" s="385"/>
      <c r="AW22" s="397" t="s">
        <v>23</v>
      </c>
      <c r="AX22" s="394"/>
      <c r="AY22" s="394"/>
      <c r="AZ22" s="394"/>
      <c r="BA22" s="394"/>
      <c r="BB22" s="394"/>
      <c r="BC22" s="398"/>
      <c r="BD22" s="389" t="s">
        <v>26</v>
      </c>
      <c r="BE22" s="394"/>
      <c r="BF22" s="394"/>
      <c r="BG22" s="394"/>
      <c r="BH22" s="394"/>
      <c r="BI22" s="394"/>
      <c r="BJ22" s="394"/>
      <c r="BK22" s="397" t="s">
        <v>25</v>
      </c>
      <c r="BL22" s="394"/>
      <c r="BM22" s="394"/>
      <c r="BN22" s="394"/>
      <c r="BO22" s="394"/>
      <c r="BP22" s="394"/>
      <c r="BQ22" s="398"/>
      <c r="BR22" s="389"/>
      <c r="BS22" s="389"/>
      <c r="BT22" s="389"/>
      <c r="BU22" s="389"/>
      <c r="BV22" s="389"/>
      <c r="BW22" s="389"/>
      <c r="BX22" s="389"/>
    </row>
    <row r="23" spans="1:76" s="6" customFormat="1" ht="12.75" thickBot="1">
      <c r="A23" s="401">
        <v>1</v>
      </c>
      <c r="B23" s="402"/>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395">
        <v>2</v>
      </c>
      <c r="AG23" s="395"/>
      <c r="AH23" s="395"/>
      <c r="AI23" s="395"/>
      <c r="AJ23" s="395">
        <v>3</v>
      </c>
      <c r="AK23" s="395"/>
      <c r="AL23" s="395"/>
      <c r="AM23" s="395"/>
      <c r="AN23" s="395"/>
      <c r="AO23" s="395"/>
      <c r="AP23" s="395"/>
      <c r="AQ23" s="395"/>
      <c r="AR23" s="395">
        <v>4</v>
      </c>
      <c r="AS23" s="395"/>
      <c r="AT23" s="395"/>
      <c r="AU23" s="395"/>
      <c r="AV23" s="395"/>
      <c r="AW23" s="395">
        <v>5</v>
      </c>
      <c r="AX23" s="395"/>
      <c r="AY23" s="395"/>
      <c r="AZ23" s="395"/>
      <c r="BA23" s="395"/>
      <c r="BB23" s="395"/>
      <c r="BC23" s="395"/>
      <c r="BD23" s="395">
        <v>6</v>
      </c>
      <c r="BE23" s="395"/>
      <c r="BF23" s="395"/>
      <c r="BG23" s="395"/>
      <c r="BH23" s="395"/>
      <c r="BI23" s="395"/>
      <c r="BJ23" s="395"/>
      <c r="BK23" s="395">
        <v>7</v>
      </c>
      <c r="BL23" s="395"/>
      <c r="BM23" s="395"/>
      <c r="BN23" s="395"/>
      <c r="BO23" s="395"/>
      <c r="BP23" s="395"/>
      <c r="BQ23" s="395"/>
      <c r="BR23" s="395">
        <v>8</v>
      </c>
      <c r="BS23" s="395"/>
      <c r="BT23" s="395"/>
      <c r="BU23" s="395"/>
      <c r="BV23" s="395"/>
      <c r="BW23" s="395"/>
      <c r="BX23" s="396"/>
    </row>
    <row r="24" spans="1:76" s="6" customFormat="1" ht="13.5">
      <c r="A24" s="373" t="s">
        <v>60</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5"/>
      <c r="AF24" s="379" t="s">
        <v>30</v>
      </c>
      <c r="AG24" s="369"/>
      <c r="AH24" s="369"/>
      <c r="AI24" s="369"/>
      <c r="AJ24" s="369" t="s">
        <v>34</v>
      </c>
      <c r="AK24" s="369"/>
      <c r="AL24" s="369"/>
      <c r="AM24" s="369"/>
      <c r="AN24" s="369"/>
      <c r="AO24" s="369"/>
      <c r="AP24" s="369"/>
      <c r="AQ24" s="369"/>
      <c r="AR24" s="369" t="s">
        <v>34</v>
      </c>
      <c r="AS24" s="369"/>
      <c r="AT24" s="369"/>
      <c r="AU24" s="369"/>
      <c r="AV24" s="369"/>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8"/>
    </row>
    <row r="25" spans="1:76" s="6" customFormat="1" ht="13.5">
      <c r="A25" s="373" t="s">
        <v>205</v>
      </c>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5"/>
      <c r="AF25" s="284" t="s">
        <v>31</v>
      </c>
      <c r="AG25" s="279"/>
      <c r="AH25" s="279"/>
      <c r="AI25" s="279"/>
      <c r="AJ25" s="279" t="s">
        <v>34</v>
      </c>
      <c r="AK25" s="279"/>
      <c r="AL25" s="279"/>
      <c r="AM25" s="279"/>
      <c r="AN25" s="279"/>
      <c r="AO25" s="279"/>
      <c r="AP25" s="279"/>
      <c r="AQ25" s="279"/>
      <c r="AR25" s="279" t="s">
        <v>34</v>
      </c>
      <c r="AS25" s="279"/>
      <c r="AT25" s="279"/>
      <c r="AU25" s="279"/>
      <c r="AV25" s="279"/>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1"/>
    </row>
    <row r="26" spans="1:76" s="6" customFormat="1" ht="12.75">
      <c r="A26" s="370" t="s">
        <v>27</v>
      </c>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2"/>
      <c r="AF26" s="380" t="s">
        <v>32</v>
      </c>
      <c r="AG26" s="381"/>
      <c r="AH26" s="381"/>
      <c r="AI26" s="381"/>
      <c r="AJ26" s="279"/>
      <c r="AK26" s="279"/>
      <c r="AL26" s="279"/>
      <c r="AM26" s="279"/>
      <c r="AN26" s="279"/>
      <c r="AO26" s="279"/>
      <c r="AP26" s="279"/>
      <c r="AQ26" s="279"/>
      <c r="AR26" s="279"/>
      <c r="AS26" s="279"/>
      <c r="AT26" s="279"/>
      <c r="AU26" s="279"/>
      <c r="AV26" s="279"/>
      <c r="AW26" s="285">
        <f>AW30+AW37</f>
        <v>37122745</v>
      </c>
      <c r="AX26" s="285"/>
      <c r="AY26" s="285"/>
      <c r="AZ26" s="285"/>
      <c r="BA26" s="285"/>
      <c r="BB26" s="285"/>
      <c r="BC26" s="285"/>
      <c r="BD26" s="285">
        <f>BD30+BD37</f>
        <v>33231819</v>
      </c>
      <c r="BE26" s="285"/>
      <c r="BF26" s="285"/>
      <c r="BG26" s="285"/>
      <c r="BH26" s="285"/>
      <c r="BI26" s="285"/>
      <c r="BJ26" s="285"/>
      <c r="BK26" s="285">
        <f>BK30+BK37</f>
        <v>33241021</v>
      </c>
      <c r="BL26" s="285"/>
      <c r="BM26" s="285"/>
      <c r="BN26" s="285"/>
      <c r="BO26" s="285"/>
      <c r="BP26" s="285"/>
      <c r="BQ26" s="285"/>
      <c r="BR26" s="280"/>
      <c r="BS26" s="280"/>
      <c r="BT26" s="280"/>
      <c r="BU26" s="280"/>
      <c r="BV26" s="280"/>
      <c r="BW26" s="280"/>
      <c r="BX26" s="281"/>
    </row>
    <row r="27" spans="1:76" s="6" customFormat="1" ht="23.25" customHeight="1">
      <c r="A27" s="355" t="s">
        <v>28</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6"/>
      <c r="AF27" s="315" t="s">
        <v>33</v>
      </c>
      <c r="AG27" s="316"/>
      <c r="AH27" s="316"/>
      <c r="AI27" s="317"/>
      <c r="AJ27" s="348" t="s">
        <v>35</v>
      </c>
      <c r="AK27" s="316"/>
      <c r="AL27" s="316"/>
      <c r="AM27" s="316"/>
      <c r="AN27" s="316"/>
      <c r="AO27" s="316"/>
      <c r="AP27" s="316"/>
      <c r="AQ27" s="317"/>
      <c r="AR27" s="348"/>
      <c r="AS27" s="316"/>
      <c r="AT27" s="316"/>
      <c r="AU27" s="316"/>
      <c r="AV27" s="317"/>
      <c r="AW27" s="359"/>
      <c r="AX27" s="360"/>
      <c r="AY27" s="360"/>
      <c r="AZ27" s="360"/>
      <c r="BA27" s="360"/>
      <c r="BB27" s="360"/>
      <c r="BC27" s="361"/>
      <c r="BD27" s="359"/>
      <c r="BE27" s="360"/>
      <c r="BF27" s="360"/>
      <c r="BG27" s="360"/>
      <c r="BH27" s="360"/>
      <c r="BI27" s="360"/>
      <c r="BJ27" s="361"/>
      <c r="BK27" s="359"/>
      <c r="BL27" s="360"/>
      <c r="BM27" s="360"/>
      <c r="BN27" s="360"/>
      <c r="BO27" s="360"/>
      <c r="BP27" s="360"/>
      <c r="BQ27" s="361"/>
      <c r="BR27" s="364"/>
      <c r="BS27" s="365"/>
      <c r="BT27" s="365"/>
      <c r="BU27" s="365"/>
      <c r="BV27" s="365"/>
      <c r="BW27" s="365"/>
      <c r="BX27" s="366"/>
    </row>
    <row r="28" spans="1:76" s="6" customFormat="1" ht="12">
      <c r="A28" s="352" t="s">
        <v>29</v>
      </c>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4"/>
      <c r="AF28" s="308" t="s">
        <v>58</v>
      </c>
      <c r="AG28" s="301"/>
      <c r="AH28" s="301"/>
      <c r="AI28" s="302"/>
      <c r="AJ28" s="300"/>
      <c r="AK28" s="301"/>
      <c r="AL28" s="301"/>
      <c r="AM28" s="301"/>
      <c r="AN28" s="301"/>
      <c r="AO28" s="301"/>
      <c r="AP28" s="301"/>
      <c r="AQ28" s="302"/>
      <c r="AR28" s="300"/>
      <c r="AS28" s="301"/>
      <c r="AT28" s="301"/>
      <c r="AU28" s="301"/>
      <c r="AV28" s="302"/>
      <c r="AW28" s="286"/>
      <c r="AX28" s="287"/>
      <c r="AY28" s="287"/>
      <c r="AZ28" s="287"/>
      <c r="BA28" s="287"/>
      <c r="BB28" s="287"/>
      <c r="BC28" s="288"/>
      <c r="BD28" s="286"/>
      <c r="BE28" s="287"/>
      <c r="BF28" s="287"/>
      <c r="BG28" s="287"/>
      <c r="BH28" s="287"/>
      <c r="BI28" s="287"/>
      <c r="BJ28" s="288"/>
      <c r="BK28" s="286"/>
      <c r="BL28" s="287"/>
      <c r="BM28" s="287"/>
      <c r="BN28" s="287"/>
      <c r="BO28" s="287"/>
      <c r="BP28" s="287"/>
      <c r="BQ28" s="288"/>
      <c r="BR28" s="292"/>
      <c r="BS28" s="293"/>
      <c r="BT28" s="293"/>
      <c r="BU28" s="293"/>
      <c r="BV28" s="293"/>
      <c r="BW28" s="293"/>
      <c r="BX28" s="294"/>
    </row>
    <row r="29" spans="1:76" s="6" customFormat="1" ht="12">
      <c r="A29" s="298"/>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9"/>
      <c r="AF29" s="324"/>
      <c r="AG29" s="304"/>
      <c r="AH29" s="304"/>
      <c r="AI29" s="305"/>
      <c r="AJ29" s="303"/>
      <c r="AK29" s="304"/>
      <c r="AL29" s="304"/>
      <c r="AM29" s="304"/>
      <c r="AN29" s="304"/>
      <c r="AO29" s="304"/>
      <c r="AP29" s="304"/>
      <c r="AQ29" s="305"/>
      <c r="AR29" s="303"/>
      <c r="AS29" s="304"/>
      <c r="AT29" s="304"/>
      <c r="AU29" s="304"/>
      <c r="AV29" s="305"/>
      <c r="AW29" s="289"/>
      <c r="AX29" s="290"/>
      <c r="AY29" s="290"/>
      <c r="AZ29" s="290"/>
      <c r="BA29" s="290"/>
      <c r="BB29" s="290"/>
      <c r="BC29" s="291"/>
      <c r="BD29" s="289"/>
      <c r="BE29" s="290"/>
      <c r="BF29" s="290"/>
      <c r="BG29" s="290"/>
      <c r="BH29" s="290"/>
      <c r="BI29" s="290"/>
      <c r="BJ29" s="291"/>
      <c r="BK29" s="289"/>
      <c r="BL29" s="290"/>
      <c r="BM29" s="290"/>
      <c r="BN29" s="290"/>
      <c r="BO29" s="290"/>
      <c r="BP29" s="290"/>
      <c r="BQ29" s="291"/>
      <c r="BR29" s="295"/>
      <c r="BS29" s="296"/>
      <c r="BT29" s="296"/>
      <c r="BU29" s="296"/>
      <c r="BV29" s="296"/>
      <c r="BW29" s="296"/>
      <c r="BX29" s="297"/>
    </row>
    <row r="30" spans="1:76" s="6" customFormat="1" ht="12.75">
      <c r="A30" s="362" t="s">
        <v>36</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3"/>
      <c r="AF30" s="284" t="s">
        <v>38</v>
      </c>
      <c r="AG30" s="279"/>
      <c r="AH30" s="279"/>
      <c r="AI30" s="279"/>
      <c r="AJ30" s="279" t="s">
        <v>37</v>
      </c>
      <c r="AK30" s="279"/>
      <c r="AL30" s="279"/>
      <c r="AM30" s="279"/>
      <c r="AN30" s="279"/>
      <c r="AO30" s="279"/>
      <c r="AP30" s="279"/>
      <c r="AQ30" s="279"/>
      <c r="AR30" s="279"/>
      <c r="AS30" s="279"/>
      <c r="AT30" s="279"/>
      <c r="AU30" s="279"/>
      <c r="AV30" s="279"/>
      <c r="AW30" s="285">
        <f>AW31</f>
        <v>33681205</v>
      </c>
      <c r="AX30" s="285"/>
      <c r="AY30" s="285"/>
      <c r="AZ30" s="285"/>
      <c r="BA30" s="285"/>
      <c r="BB30" s="285"/>
      <c r="BC30" s="285"/>
      <c r="BD30" s="285">
        <f>BD31</f>
        <v>30168614</v>
      </c>
      <c r="BE30" s="285"/>
      <c r="BF30" s="285"/>
      <c r="BG30" s="285"/>
      <c r="BH30" s="285"/>
      <c r="BI30" s="285"/>
      <c r="BJ30" s="285"/>
      <c r="BK30" s="285">
        <f>BK31</f>
        <v>30791421</v>
      </c>
      <c r="BL30" s="285"/>
      <c r="BM30" s="285"/>
      <c r="BN30" s="285"/>
      <c r="BO30" s="285"/>
      <c r="BP30" s="285"/>
      <c r="BQ30" s="285"/>
      <c r="BR30" s="280"/>
      <c r="BS30" s="280"/>
      <c r="BT30" s="280"/>
      <c r="BU30" s="280"/>
      <c r="BV30" s="280"/>
      <c r="BW30" s="280"/>
      <c r="BX30" s="281"/>
    </row>
    <row r="31" spans="1:76" s="6" customFormat="1" ht="48.75" customHeight="1">
      <c r="A31" s="346" t="s">
        <v>59</v>
      </c>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7"/>
      <c r="AF31" s="284" t="s">
        <v>39</v>
      </c>
      <c r="AG31" s="279"/>
      <c r="AH31" s="279"/>
      <c r="AI31" s="279"/>
      <c r="AJ31" s="279" t="s">
        <v>37</v>
      </c>
      <c r="AK31" s="279"/>
      <c r="AL31" s="279"/>
      <c r="AM31" s="279"/>
      <c r="AN31" s="279"/>
      <c r="AO31" s="279"/>
      <c r="AP31" s="279"/>
      <c r="AQ31" s="279"/>
      <c r="AR31" s="279"/>
      <c r="AS31" s="279"/>
      <c r="AT31" s="279"/>
      <c r="AU31" s="279"/>
      <c r="AV31" s="279"/>
      <c r="AW31" s="285">
        <v>33681205</v>
      </c>
      <c r="AX31" s="285"/>
      <c r="AY31" s="285"/>
      <c r="AZ31" s="285"/>
      <c r="BA31" s="285"/>
      <c r="BB31" s="285"/>
      <c r="BC31" s="285"/>
      <c r="BD31" s="285">
        <v>30168614</v>
      </c>
      <c r="BE31" s="285"/>
      <c r="BF31" s="285"/>
      <c r="BG31" s="285"/>
      <c r="BH31" s="285"/>
      <c r="BI31" s="285"/>
      <c r="BJ31" s="285"/>
      <c r="BK31" s="285">
        <v>30791421</v>
      </c>
      <c r="BL31" s="285"/>
      <c r="BM31" s="285"/>
      <c r="BN31" s="285"/>
      <c r="BO31" s="285"/>
      <c r="BP31" s="285"/>
      <c r="BQ31" s="285"/>
      <c r="BR31" s="280"/>
      <c r="BS31" s="280"/>
      <c r="BT31" s="280"/>
      <c r="BU31" s="280"/>
      <c r="BV31" s="280"/>
      <c r="BW31" s="280"/>
      <c r="BX31" s="281"/>
    </row>
    <row r="32" spans="1:76" s="6" customFormat="1" ht="36" customHeight="1">
      <c r="A32" s="346" t="s">
        <v>61</v>
      </c>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7"/>
      <c r="AF32" s="284" t="s">
        <v>40</v>
      </c>
      <c r="AG32" s="279"/>
      <c r="AH32" s="279"/>
      <c r="AI32" s="279"/>
      <c r="AJ32" s="279" t="s">
        <v>37</v>
      </c>
      <c r="AK32" s="279"/>
      <c r="AL32" s="279"/>
      <c r="AM32" s="279"/>
      <c r="AN32" s="279"/>
      <c r="AO32" s="279"/>
      <c r="AP32" s="279"/>
      <c r="AQ32" s="279"/>
      <c r="AR32" s="279"/>
      <c r="AS32" s="279"/>
      <c r="AT32" s="279"/>
      <c r="AU32" s="279"/>
      <c r="AV32" s="279"/>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0"/>
      <c r="BS32" s="280"/>
      <c r="BT32" s="280"/>
      <c r="BU32" s="280"/>
      <c r="BV32" s="280"/>
      <c r="BW32" s="280"/>
      <c r="BX32" s="281"/>
    </row>
    <row r="33" spans="1:76" s="6" customFormat="1" ht="12.75">
      <c r="A33" s="357"/>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8"/>
      <c r="AF33" s="315"/>
      <c r="AG33" s="316"/>
      <c r="AH33" s="316"/>
      <c r="AI33" s="317"/>
      <c r="AJ33" s="348"/>
      <c r="AK33" s="316"/>
      <c r="AL33" s="316"/>
      <c r="AM33" s="316"/>
      <c r="AN33" s="316"/>
      <c r="AO33" s="316"/>
      <c r="AP33" s="316"/>
      <c r="AQ33" s="317"/>
      <c r="AR33" s="348"/>
      <c r="AS33" s="316"/>
      <c r="AT33" s="316"/>
      <c r="AU33" s="316"/>
      <c r="AV33" s="317"/>
      <c r="AW33" s="359"/>
      <c r="AX33" s="360"/>
      <c r="AY33" s="360"/>
      <c r="AZ33" s="360"/>
      <c r="BA33" s="360"/>
      <c r="BB33" s="360"/>
      <c r="BC33" s="361"/>
      <c r="BD33" s="359"/>
      <c r="BE33" s="360"/>
      <c r="BF33" s="360"/>
      <c r="BG33" s="360"/>
      <c r="BH33" s="360"/>
      <c r="BI33" s="360"/>
      <c r="BJ33" s="361"/>
      <c r="BK33" s="359"/>
      <c r="BL33" s="360"/>
      <c r="BM33" s="360"/>
      <c r="BN33" s="360"/>
      <c r="BO33" s="360"/>
      <c r="BP33" s="360"/>
      <c r="BQ33" s="361"/>
      <c r="BR33" s="364"/>
      <c r="BS33" s="365"/>
      <c r="BT33" s="365"/>
      <c r="BU33" s="365"/>
      <c r="BV33" s="365"/>
      <c r="BW33" s="365"/>
      <c r="BX33" s="366"/>
    </row>
    <row r="34" spans="1:76" s="6" customFormat="1" ht="12.75">
      <c r="A34" s="355" t="s">
        <v>63</v>
      </c>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6"/>
      <c r="AF34" s="315" t="s">
        <v>41</v>
      </c>
      <c r="AG34" s="316"/>
      <c r="AH34" s="316"/>
      <c r="AI34" s="317"/>
      <c r="AJ34" s="348" t="s">
        <v>62</v>
      </c>
      <c r="AK34" s="316"/>
      <c r="AL34" s="316"/>
      <c r="AM34" s="316"/>
      <c r="AN34" s="316"/>
      <c r="AO34" s="316"/>
      <c r="AP34" s="316"/>
      <c r="AQ34" s="317"/>
      <c r="AR34" s="348"/>
      <c r="AS34" s="316"/>
      <c r="AT34" s="316"/>
      <c r="AU34" s="316"/>
      <c r="AV34" s="317"/>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0"/>
      <c r="BS34" s="280"/>
      <c r="BT34" s="280"/>
      <c r="BU34" s="280"/>
      <c r="BV34" s="280"/>
      <c r="BW34" s="280"/>
      <c r="BX34" s="281"/>
    </row>
    <row r="35" spans="1:76" s="6" customFormat="1" ht="12">
      <c r="A35" s="352" t="s">
        <v>29</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4"/>
      <c r="AF35" s="308" t="s">
        <v>42</v>
      </c>
      <c r="AG35" s="301"/>
      <c r="AH35" s="301"/>
      <c r="AI35" s="302"/>
      <c r="AJ35" s="300" t="s">
        <v>62</v>
      </c>
      <c r="AK35" s="301"/>
      <c r="AL35" s="301"/>
      <c r="AM35" s="301"/>
      <c r="AN35" s="301"/>
      <c r="AO35" s="301"/>
      <c r="AP35" s="301"/>
      <c r="AQ35" s="302"/>
      <c r="AR35" s="300"/>
      <c r="AS35" s="301"/>
      <c r="AT35" s="301"/>
      <c r="AU35" s="301"/>
      <c r="AV35" s="302"/>
      <c r="AW35" s="286"/>
      <c r="AX35" s="287"/>
      <c r="AY35" s="287"/>
      <c r="AZ35" s="287"/>
      <c r="BA35" s="287"/>
      <c r="BB35" s="287"/>
      <c r="BC35" s="288"/>
      <c r="BD35" s="286"/>
      <c r="BE35" s="287"/>
      <c r="BF35" s="287"/>
      <c r="BG35" s="287"/>
      <c r="BH35" s="287"/>
      <c r="BI35" s="287"/>
      <c r="BJ35" s="288"/>
      <c r="BK35" s="286"/>
      <c r="BL35" s="287"/>
      <c r="BM35" s="287"/>
      <c r="BN35" s="287"/>
      <c r="BO35" s="287"/>
      <c r="BP35" s="287"/>
      <c r="BQ35" s="288"/>
      <c r="BR35" s="292"/>
      <c r="BS35" s="293"/>
      <c r="BT35" s="293"/>
      <c r="BU35" s="293"/>
      <c r="BV35" s="293"/>
      <c r="BW35" s="293"/>
      <c r="BX35" s="294"/>
    </row>
    <row r="36" spans="1:76" s="6" customFormat="1" ht="12">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9"/>
      <c r="AF36" s="324"/>
      <c r="AG36" s="304"/>
      <c r="AH36" s="304"/>
      <c r="AI36" s="305"/>
      <c r="AJ36" s="303"/>
      <c r="AK36" s="304"/>
      <c r="AL36" s="304"/>
      <c r="AM36" s="304"/>
      <c r="AN36" s="304"/>
      <c r="AO36" s="304"/>
      <c r="AP36" s="304"/>
      <c r="AQ36" s="305"/>
      <c r="AR36" s="303"/>
      <c r="AS36" s="304"/>
      <c r="AT36" s="304"/>
      <c r="AU36" s="304"/>
      <c r="AV36" s="305"/>
      <c r="AW36" s="289"/>
      <c r="AX36" s="290"/>
      <c r="AY36" s="290"/>
      <c r="AZ36" s="290"/>
      <c r="BA36" s="290"/>
      <c r="BB36" s="290"/>
      <c r="BC36" s="291"/>
      <c r="BD36" s="289"/>
      <c r="BE36" s="290"/>
      <c r="BF36" s="290"/>
      <c r="BG36" s="290"/>
      <c r="BH36" s="290"/>
      <c r="BI36" s="290"/>
      <c r="BJ36" s="291"/>
      <c r="BK36" s="289"/>
      <c r="BL36" s="290"/>
      <c r="BM36" s="290"/>
      <c r="BN36" s="290"/>
      <c r="BO36" s="290"/>
      <c r="BP36" s="290"/>
      <c r="BQ36" s="291"/>
      <c r="BR36" s="295"/>
      <c r="BS36" s="296"/>
      <c r="BT36" s="296"/>
      <c r="BU36" s="296"/>
      <c r="BV36" s="296"/>
      <c r="BW36" s="296"/>
      <c r="BX36" s="297"/>
    </row>
    <row r="37" spans="1:76" s="6" customFormat="1" ht="12.75">
      <c r="A37" s="276" t="s">
        <v>64</v>
      </c>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8"/>
      <c r="AF37" s="284" t="s">
        <v>43</v>
      </c>
      <c r="AG37" s="279"/>
      <c r="AH37" s="279"/>
      <c r="AI37" s="279"/>
      <c r="AJ37" s="348" t="s">
        <v>66</v>
      </c>
      <c r="AK37" s="316"/>
      <c r="AL37" s="316"/>
      <c r="AM37" s="316"/>
      <c r="AN37" s="316"/>
      <c r="AO37" s="316"/>
      <c r="AP37" s="316"/>
      <c r="AQ37" s="317"/>
      <c r="AR37" s="279"/>
      <c r="AS37" s="279"/>
      <c r="AT37" s="279"/>
      <c r="AU37" s="279"/>
      <c r="AV37" s="279"/>
      <c r="AW37" s="285">
        <f>AW38</f>
        <v>3441540</v>
      </c>
      <c r="AX37" s="285"/>
      <c r="AY37" s="285"/>
      <c r="AZ37" s="285"/>
      <c r="BA37" s="285"/>
      <c r="BB37" s="285"/>
      <c r="BC37" s="285"/>
      <c r="BD37" s="285">
        <f>BD38</f>
        <v>3063205</v>
      </c>
      <c r="BE37" s="285"/>
      <c r="BF37" s="285"/>
      <c r="BG37" s="285"/>
      <c r="BH37" s="285"/>
      <c r="BI37" s="285"/>
      <c r="BJ37" s="285"/>
      <c r="BK37" s="285">
        <f>BK38</f>
        <v>2449600</v>
      </c>
      <c r="BL37" s="285"/>
      <c r="BM37" s="285"/>
      <c r="BN37" s="285"/>
      <c r="BO37" s="285"/>
      <c r="BP37" s="285"/>
      <c r="BQ37" s="285"/>
      <c r="BR37" s="280"/>
      <c r="BS37" s="280"/>
      <c r="BT37" s="280"/>
      <c r="BU37" s="280"/>
      <c r="BV37" s="280"/>
      <c r="BW37" s="280"/>
      <c r="BX37" s="281"/>
    </row>
    <row r="38" spans="1:76" s="6" customFormat="1" ht="12">
      <c r="A38" s="352" t="s">
        <v>29</v>
      </c>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4"/>
      <c r="AF38" s="308" t="s">
        <v>219</v>
      </c>
      <c r="AG38" s="301"/>
      <c r="AH38" s="301"/>
      <c r="AI38" s="302"/>
      <c r="AJ38" s="300" t="s">
        <v>66</v>
      </c>
      <c r="AK38" s="301"/>
      <c r="AL38" s="301"/>
      <c r="AM38" s="301"/>
      <c r="AN38" s="301"/>
      <c r="AO38" s="301"/>
      <c r="AP38" s="301"/>
      <c r="AQ38" s="302"/>
      <c r="AR38" s="300"/>
      <c r="AS38" s="301"/>
      <c r="AT38" s="301"/>
      <c r="AU38" s="301"/>
      <c r="AV38" s="302"/>
      <c r="AW38" s="286">
        <v>3441540</v>
      </c>
      <c r="AX38" s="287"/>
      <c r="AY38" s="287"/>
      <c r="AZ38" s="287"/>
      <c r="BA38" s="287"/>
      <c r="BB38" s="287"/>
      <c r="BC38" s="288"/>
      <c r="BD38" s="286">
        <v>3063205</v>
      </c>
      <c r="BE38" s="287"/>
      <c r="BF38" s="287"/>
      <c r="BG38" s="287"/>
      <c r="BH38" s="287"/>
      <c r="BI38" s="287"/>
      <c r="BJ38" s="288"/>
      <c r="BK38" s="286">
        <v>2449600</v>
      </c>
      <c r="BL38" s="287"/>
      <c r="BM38" s="287"/>
      <c r="BN38" s="287"/>
      <c r="BO38" s="287"/>
      <c r="BP38" s="287"/>
      <c r="BQ38" s="288"/>
      <c r="BR38" s="292"/>
      <c r="BS38" s="293"/>
      <c r="BT38" s="293"/>
      <c r="BU38" s="293"/>
      <c r="BV38" s="293"/>
      <c r="BW38" s="293"/>
      <c r="BX38" s="294"/>
    </row>
    <row r="39" spans="1:76" s="6" customFormat="1" ht="12">
      <c r="A39" s="298" t="s">
        <v>218</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9"/>
      <c r="AF39" s="324"/>
      <c r="AG39" s="304"/>
      <c r="AH39" s="304"/>
      <c r="AI39" s="305"/>
      <c r="AJ39" s="303"/>
      <c r="AK39" s="304"/>
      <c r="AL39" s="304"/>
      <c r="AM39" s="304"/>
      <c r="AN39" s="304"/>
      <c r="AO39" s="304"/>
      <c r="AP39" s="304"/>
      <c r="AQ39" s="305"/>
      <c r="AR39" s="303"/>
      <c r="AS39" s="304"/>
      <c r="AT39" s="304"/>
      <c r="AU39" s="304"/>
      <c r="AV39" s="305"/>
      <c r="AW39" s="289"/>
      <c r="AX39" s="290"/>
      <c r="AY39" s="290"/>
      <c r="AZ39" s="290"/>
      <c r="BA39" s="290"/>
      <c r="BB39" s="290"/>
      <c r="BC39" s="291"/>
      <c r="BD39" s="289"/>
      <c r="BE39" s="290"/>
      <c r="BF39" s="290"/>
      <c r="BG39" s="290"/>
      <c r="BH39" s="290"/>
      <c r="BI39" s="290"/>
      <c r="BJ39" s="291"/>
      <c r="BK39" s="289"/>
      <c r="BL39" s="290"/>
      <c r="BM39" s="290"/>
      <c r="BN39" s="290"/>
      <c r="BO39" s="290"/>
      <c r="BP39" s="290"/>
      <c r="BQ39" s="291"/>
      <c r="BR39" s="295"/>
      <c r="BS39" s="296"/>
      <c r="BT39" s="296"/>
      <c r="BU39" s="296"/>
      <c r="BV39" s="296"/>
      <c r="BW39" s="296"/>
      <c r="BX39" s="297"/>
    </row>
    <row r="40" spans="1:76" s="6" customFormat="1" ht="12.75">
      <c r="A40" s="344" t="s">
        <v>220</v>
      </c>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5"/>
      <c r="AF40" s="315" t="s">
        <v>221</v>
      </c>
      <c r="AG40" s="316"/>
      <c r="AH40" s="316"/>
      <c r="AI40" s="317"/>
      <c r="AJ40" s="279" t="s">
        <v>66</v>
      </c>
      <c r="AK40" s="279"/>
      <c r="AL40" s="279"/>
      <c r="AM40" s="279"/>
      <c r="AN40" s="279"/>
      <c r="AO40" s="279"/>
      <c r="AP40" s="279"/>
      <c r="AQ40" s="279"/>
      <c r="AR40" s="279"/>
      <c r="AS40" s="279"/>
      <c r="AT40" s="279"/>
      <c r="AU40" s="279"/>
      <c r="AV40" s="279"/>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0"/>
      <c r="BS40" s="280"/>
      <c r="BT40" s="280"/>
      <c r="BU40" s="280"/>
      <c r="BV40" s="280"/>
      <c r="BW40" s="280"/>
      <c r="BX40" s="281"/>
    </row>
    <row r="41" spans="1:76" s="6" customFormat="1" ht="12" customHeight="1">
      <c r="A41" s="312"/>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27"/>
      <c r="AF41" s="284"/>
      <c r="AG41" s="279"/>
      <c r="AH41" s="279"/>
      <c r="AI41" s="279"/>
      <c r="AJ41" s="279"/>
      <c r="AK41" s="279"/>
      <c r="AL41" s="279"/>
      <c r="AM41" s="279"/>
      <c r="AN41" s="279"/>
      <c r="AO41" s="279"/>
      <c r="AP41" s="279"/>
      <c r="AQ41" s="279"/>
      <c r="AR41" s="279"/>
      <c r="AS41" s="279"/>
      <c r="AT41" s="279"/>
      <c r="AU41" s="279"/>
      <c r="AV41" s="279"/>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0"/>
      <c r="BS41" s="280"/>
      <c r="BT41" s="280"/>
      <c r="BU41" s="280"/>
      <c r="BV41" s="280"/>
      <c r="BW41" s="280"/>
      <c r="BX41" s="281"/>
    </row>
    <row r="42" spans="1:76" s="6" customFormat="1" ht="12.75">
      <c r="A42" s="276" t="s">
        <v>65</v>
      </c>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8"/>
      <c r="AF42" s="284" t="s">
        <v>44</v>
      </c>
      <c r="AG42" s="279"/>
      <c r="AH42" s="279"/>
      <c r="AI42" s="279"/>
      <c r="AJ42" s="279" t="s">
        <v>67</v>
      </c>
      <c r="AK42" s="279"/>
      <c r="AL42" s="279"/>
      <c r="AM42" s="279"/>
      <c r="AN42" s="279"/>
      <c r="AO42" s="279"/>
      <c r="AP42" s="279"/>
      <c r="AQ42" s="279"/>
      <c r="AR42" s="279"/>
      <c r="AS42" s="279"/>
      <c r="AT42" s="279"/>
      <c r="AU42" s="279"/>
      <c r="AV42" s="279"/>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0"/>
      <c r="BS42" s="280"/>
      <c r="BT42" s="280"/>
      <c r="BU42" s="280"/>
      <c r="BV42" s="280"/>
      <c r="BW42" s="280"/>
      <c r="BX42" s="281"/>
    </row>
    <row r="43" spans="1:76" s="6" customFormat="1" ht="12">
      <c r="A43" s="312" t="s">
        <v>29</v>
      </c>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4"/>
      <c r="AF43" s="308"/>
      <c r="AG43" s="301"/>
      <c r="AH43" s="301"/>
      <c r="AI43" s="302"/>
      <c r="AJ43" s="300"/>
      <c r="AK43" s="301"/>
      <c r="AL43" s="301"/>
      <c r="AM43" s="301"/>
      <c r="AN43" s="301"/>
      <c r="AO43" s="301"/>
      <c r="AP43" s="301"/>
      <c r="AQ43" s="302"/>
      <c r="AR43" s="300"/>
      <c r="AS43" s="301"/>
      <c r="AT43" s="301"/>
      <c r="AU43" s="301"/>
      <c r="AV43" s="302"/>
      <c r="AW43" s="286"/>
      <c r="AX43" s="287"/>
      <c r="AY43" s="287"/>
      <c r="AZ43" s="287"/>
      <c r="BA43" s="287"/>
      <c r="BB43" s="287"/>
      <c r="BC43" s="288"/>
      <c r="BD43" s="286"/>
      <c r="BE43" s="287"/>
      <c r="BF43" s="287"/>
      <c r="BG43" s="287"/>
      <c r="BH43" s="287"/>
      <c r="BI43" s="287"/>
      <c r="BJ43" s="288"/>
      <c r="BK43" s="286"/>
      <c r="BL43" s="287"/>
      <c r="BM43" s="287"/>
      <c r="BN43" s="287"/>
      <c r="BO43" s="287"/>
      <c r="BP43" s="287"/>
      <c r="BQ43" s="288"/>
      <c r="BR43" s="292"/>
      <c r="BS43" s="293"/>
      <c r="BT43" s="293"/>
      <c r="BU43" s="293"/>
      <c r="BV43" s="293"/>
      <c r="BW43" s="293"/>
      <c r="BX43" s="294"/>
    </row>
    <row r="44" spans="1:76" s="6" customFormat="1" ht="12">
      <c r="A44" s="306"/>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7"/>
      <c r="AF44" s="309"/>
      <c r="AG44" s="310"/>
      <c r="AH44" s="310"/>
      <c r="AI44" s="311"/>
      <c r="AJ44" s="303"/>
      <c r="AK44" s="304"/>
      <c r="AL44" s="304"/>
      <c r="AM44" s="304"/>
      <c r="AN44" s="304"/>
      <c r="AO44" s="304"/>
      <c r="AP44" s="304"/>
      <c r="AQ44" s="305"/>
      <c r="AR44" s="303"/>
      <c r="AS44" s="304"/>
      <c r="AT44" s="304"/>
      <c r="AU44" s="304"/>
      <c r="AV44" s="305"/>
      <c r="AW44" s="289"/>
      <c r="AX44" s="290"/>
      <c r="AY44" s="290"/>
      <c r="AZ44" s="290"/>
      <c r="BA44" s="290"/>
      <c r="BB44" s="290"/>
      <c r="BC44" s="291"/>
      <c r="BD44" s="289"/>
      <c r="BE44" s="290"/>
      <c r="BF44" s="290"/>
      <c r="BG44" s="290"/>
      <c r="BH44" s="290"/>
      <c r="BI44" s="290"/>
      <c r="BJ44" s="291"/>
      <c r="BK44" s="289"/>
      <c r="BL44" s="290"/>
      <c r="BM44" s="290"/>
      <c r="BN44" s="290"/>
      <c r="BO44" s="290"/>
      <c r="BP44" s="290"/>
      <c r="BQ44" s="291"/>
      <c r="BR44" s="295"/>
      <c r="BS44" s="296"/>
      <c r="BT44" s="296"/>
      <c r="BU44" s="296"/>
      <c r="BV44" s="296"/>
      <c r="BW44" s="296"/>
      <c r="BX44" s="297"/>
    </row>
    <row r="45" spans="1:76" s="6" customFormat="1" ht="12.75">
      <c r="A45" s="276" t="s">
        <v>68</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8"/>
      <c r="AF45" s="284" t="s">
        <v>45</v>
      </c>
      <c r="AG45" s="279"/>
      <c r="AH45" s="279"/>
      <c r="AI45" s="279"/>
      <c r="AJ45" s="279"/>
      <c r="AK45" s="279"/>
      <c r="AL45" s="279"/>
      <c r="AM45" s="279"/>
      <c r="AN45" s="279"/>
      <c r="AO45" s="279"/>
      <c r="AP45" s="279"/>
      <c r="AQ45" s="279"/>
      <c r="AR45" s="279"/>
      <c r="AS45" s="279"/>
      <c r="AT45" s="279"/>
      <c r="AU45" s="279"/>
      <c r="AV45" s="279"/>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0"/>
      <c r="BS45" s="280"/>
      <c r="BT45" s="280"/>
      <c r="BU45" s="280"/>
      <c r="BV45" s="280"/>
      <c r="BW45" s="280"/>
      <c r="BX45" s="281"/>
    </row>
    <row r="46" spans="1:76" s="6" customFormat="1" ht="12">
      <c r="A46" s="312" t="s">
        <v>29</v>
      </c>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4"/>
      <c r="AF46" s="308"/>
      <c r="AG46" s="301"/>
      <c r="AH46" s="301"/>
      <c r="AI46" s="302"/>
      <c r="AJ46" s="300"/>
      <c r="AK46" s="301"/>
      <c r="AL46" s="301"/>
      <c r="AM46" s="301"/>
      <c r="AN46" s="301"/>
      <c r="AO46" s="301"/>
      <c r="AP46" s="301"/>
      <c r="AQ46" s="302"/>
      <c r="AR46" s="300"/>
      <c r="AS46" s="301"/>
      <c r="AT46" s="301"/>
      <c r="AU46" s="301"/>
      <c r="AV46" s="302"/>
      <c r="AW46" s="286"/>
      <c r="AX46" s="287"/>
      <c r="AY46" s="287"/>
      <c r="AZ46" s="287"/>
      <c r="BA46" s="287"/>
      <c r="BB46" s="287"/>
      <c r="BC46" s="288"/>
      <c r="BD46" s="286"/>
      <c r="BE46" s="287"/>
      <c r="BF46" s="287"/>
      <c r="BG46" s="287"/>
      <c r="BH46" s="287"/>
      <c r="BI46" s="287"/>
      <c r="BJ46" s="288"/>
      <c r="BK46" s="286"/>
      <c r="BL46" s="287"/>
      <c r="BM46" s="287"/>
      <c r="BN46" s="287"/>
      <c r="BO46" s="287"/>
      <c r="BP46" s="287"/>
      <c r="BQ46" s="288"/>
      <c r="BR46" s="292"/>
      <c r="BS46" s="293"/>
      <c r="BT46" s="293"/>
      <c r="BU46" s="293"/>
      <c r="BV46" s="293"/>
      <c r="BW46" s="293"/>
      <c r="BX46" s="294"/>
    </row>
    <row r="47" spans="1:76" s="6" customFormat="1" ht="12">
      <c r="A47" s="306"/>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7"/>
      <c r="AF47" s="309"/>
      <c r="AG47" s="310"/>
      <c r="AH47" s="310"/>
      <c r="AI47" s="311"/>
      <c r="AJ47" s="303"/>
      <c r="AK47" s="304"/>
      <c r="AL47" s="304"/>
      <c r="AM47" s="304"/>
      <c r="AN47" s="304"/>
      <c r="AO47" s="304"/>
      <c r="AP47" s="304"/>
      <c r="AQ47" s="305"/>
      <c r="AR47" s="303"/>
      <c r="AS47" s="304"/>
      <c r="AT47" s="304"/>
      <c r="AU47" s="304"/>
      <c r="AV47" s="305"/>
      <c r="AW47" s="289"/>
      <c r="AX47" s="290"/>
      <c r="AY47" s="290"/>
      <c r="AZ47" s="290"/>
      <c r="BA47" s="290"/>
      <c r="BB47" s="290"/>
      <c r="BC47" s="291"/>
      <c r="BD47" s="289"/>
      <c r="BE47" s="290"/>
      <c r="BF47" s="290"/>
      <c r="BG47" s="290"/>
      <c r="BH47" s="290"/>
      <c r="BI47" s="290"/>
      <c r="BJ47" s="291"/>
      <c r="BK47" s="289"/>
      <c r="BL47" s="290"/>
      <c r="BM47" s="290"/>
      <c r="BN47" s="290"/>
      <c r="BO47" s="290"/>
      <c r="BP47" s="290"/>
      <c r="BQ47" s="291"/>
      <c r="BR47" s="295"/>
      <c r="BS47" s="296"/>
      <c r="BT47" s="296"/>
      <c r="BU47" s="296"/>
      <c r="BV47" s="296"/>
      <c r="BW47" s="296"/>
      <c r="BX47" s="297"/>
    </row>
    <row r="48" spans="1:76" s="6" customFormat="1" ht="12.75">
      <c r="A48" s="349"/>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1"/>
      <c r="AF48" s="315"/>
      <c r="AG48" s="316"/>
      <c r="AH48" s="316"/>
      <c r="AI48" s="317"/>
      <c r="AJ48" s="279"/>
      <c r="AK48" s="279"/>
      <c r="AL48" s="279"/>
      <c r="AM48" s="279"/>
      <c r="AN48" s="279"/>
      <c r="AO48" s="279"/>
      <c r="AP48" s="279"/>
      <c r="AQ48" s="279"/>
      <c r="AR48" s="279"/>
      <c r="AS48" s="279"/>
      <c r="AT48" s="279"/>
      <c r="AU48" s="279"/>
      <c r="AV48" s="279"/>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0"/>
      <c r="BS48" s="280"/>
      <c r="BT48" s="280"/>
      <c r="BU48" s="280"/>
      <c r="BV48" s="280"/>
      <c r="BW48" s="280"/>
      <c r="BX48" s="281"/>
    </row>
    <row r="49" spans="1:76" s="6" customFormat="1" ht="12.75">
      <c r="A49" s="276" t="s">
        <v>157</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8"/>
      <c r="AF49" s="284" t="s">
        <v>46</v>
      </c>
      <c r="AG49" s="279"/>
      <c r="AH49" s="279"/>
      <c r="AI49" s="279"/>
      <c r="AJ49" s="279" t="s">
        <v>34</v>
      </c>
      <c r="AK49" s="279"/>
      <c r="AL49" s="279"/>
      <c r="AM49" s="279"/>
      <c r="AN49" s="279"/>
      <c r="AO49" s="279"/>
      <c r="AP49" s="279"/>
      <c r="AQ49" s="279"/>
      <c r="AR49" s="279"/>
      <c r="AS49" s="279"/>
      <c r="AT49" s="279"/>
      <c r="AU49" s="279"/>
      <c r="AV49" s="279"/>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0"/>
      <c r="BS49" s="280"/>
      <c r="BT49" s="280"/>
      <c r="BU49" s="280"/>
      <c r="BV49" s="280"/>
      <c r="BW49" s="280"/>
      <c r="BX49" s="281"/>
    </row>
    <row r="50" spans="1:76" s="6" customFormat="1" ht="35.25" customHeight="1">
      <c r="A50" s="312" t="s">
        <v>73</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27"/>
      <c r="AF50" s="284" t="s">
        <v>47</v>
      </c>
      <c r="AG50" s="279"/>
      <c r="AH50" s="279"/>
      <c r="AI50" s="279"/>
      <c r="AJ50" s="279" t="s">
        <v>75</v>
      </c>
      <c r="AK50" s="279"/>
      <c r="AL50" s="279"/>
      <c r="AM50" s="279"/>
      <c r="AN50" s="279"/>
      <c r="AO50" s="279"/>
      <c r="AP50" s="279"/>
      <c r="AQ50" s="279"/>
      <c r="AR50" s="279"/>
      <c r="AS50" s="279"/>
      <c r="AT50" s="279"/>
      <c r="AU50" s="279"/>
      <c r="AV50" s="279"/>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0" t="s">
        <v>34</v>
      </c>
      <c r="BS50" s="280"/>
      <c r="BT50" s="280"/>
      <c r="BU50" s="280"/>
      <c r="BV50" s="280"/>
      <c r="BW50" s="280"/>
      <c r="BX50" s="281"/>
    </row>
    <row r="51" spans="1:76" s="6" customFormat="1" ht="12.75">
      <c r="A51" s="336"/>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8"/>
      <c r="AF51" s="315"/>
      <c r="AG51" s="316"/>
      <c r="AH51" s="316"/>
      <c r="AI51" s="317"/>
      <c r="AJ51" s="279"/>
      <c r="AK51" s="279"/>
      <c r="AL51" s="279"/>
      <c r="AM51" s="279"/>
      <c r="AN51" s="279"/>
      <c r="AO51" s="279"/>
      <c r="AP51" s="279"/>
      <c r="AQ51" s="279"/>
      <c r="AR51" s="279"/>
      <c r="AS51" s="279"/>
      <c r="AT51" s="279"/>
      <c r="AU51" s="279"/>
      <c r="AV51" s="279"/>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0"/>
      <c r="BS51" s="280"/>
      <c r="BT51" s="280"/>
      <c r="BU51" s="280"/>
      <c r="BV51" s="280"/>
      <c r="BW51" s="280"/>
      <c r="BX51" s="281"/>
    </row>
    <row r="52" spans="1:76" s="6" customFormat="1" ht="12.75">
      <c r="A52" s="331" t="s">
        <v>74</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3"/>
      <c r="AF52" s="335" t="s">
        <v>48</v>
      </c>
      <c r="AG52" s="334"/>
      <c r="AH52" s="334"/>
      <c r="AI52" s="334"/>
      <c r="AJ52" s="334" t="s">
        <v>34</v>
      </c>
      <c r="AK52" s="334"/>
      <c r="AL52" s="334"/>
      <c r="AM52" s="334"/>
      <c r="AN52" s="334"/>
      <c r="AO52" s="334"/>
      <c r="AP52" s="334"/>
      <c r="AQ52" s="334"/>
      <c r="AR52" s="279"/>
      <c r="AS52" s="279"/>
      <c r="AT52" s="279"/>
      <c r="AU52" s="279"/>
      <c r="AV52" s="279"/>
      <c r="AW52" s="285">
        <f>AW53+AW57+AW65+AW71+AW85-0.01</f>
        <v>37122744.99068</v>
      </c>
      <c r="AX52" s="285"/>
      <c r="AY52" s="285"/>
      <c r="AZ52" s="285"/>
      <c r="BA52" s="285"/>
      <c r="BB52" s="285"/>
      <c r="BC52" s="285"/>
      <c r="BD52" s="285">
        <f>BD53+BD57+BD65+BD71+BD85</f>
        <v>33231819</v>
      </c>
      <c r="BE52" s="285"/>
      <c r="BF52" s="285"/>
      <c r="BG52" s="285"/>
      <c r="BH52" s="285"/>
      <c r="BI52" s="285"/>
      <c r="BJ52" s="285"/>
      <c r="BK52" s="285">
        <f>BK53+BK57+BK65+BK71+BK85</f>
        <v>33241021</v>
      </c>
      <c r="BL52" s="285"/>
      <c r="BM52" s="285"/>
      <c r="BN52" s="285"/>
      <c r="BO52" s="285"/>
      <c r="BP52" s="285"/>
      <c r="BQ52" s="285"/>
      <c r="BR52" s="280"/>
      <c r="BS52" s="280"/>
      <c r="BT52" s="280"/>
      <c r="BU52" s="280"/>
      <c r="BV52" s="280"/>
      <c r="BW52" s="280"/>
      <c r="BX52" s="281"/>
    </row>
    <row r="53" spans="1:76" s="6" customFormat="1" ht="21.75" customHeight="1">
      <c r="A53" s="276" t="s">
        <v>76</v>
      </c>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8"/>
      <c r="AF53" s="284" t="s">
        <v>49</v>
      </c>
      <c r="AG53" s="279"/>
      <c r="AH53" s="279"/>
      <c r="AI53" s="279"/>
      <c r="AJ53" s="279" t="s">
        <v>34</v>
      </c>
      <c r="AK53" s="279"/>
      <c r="AL53" s="279"/>
      <c r="AM53" s="279"/>
      <c r="AN53" s="279"/>
      <c r="AO53" s="279"/>
      <c r="AP53" s="279"/>
      <c r="AQ53" s="279"/>
      <c r="AR53" s="279"/>
      <c r="AS53" s="279"/>
      <c r="AT53" s="279"/>
      <c r="AU53" s="279"/>
      <c r="AV53" s="279"/>
      <c r="AW53" s="285">
        <f>AW54+AW55</f>
        <v>24322403</v>
      </c>
      <c r="AX53" s="285"/>
      <c r="AY53" s="285"/>
      <c r="AZ53" s="285"/>
      <c r="BA53" s="285"/>
      <c r="BB53" s="285"/>
      <c r="BC53" s="285"/>
      <c r="BD53" s="285">
        <f>BD54+BD55</f>
        <v>24917128</v>
      </c>
      <c r="BE53" s="285"/>
      <c r="BF53" s="285"/>
      <c r="BG53" s="285"/>
      <c r="BH53" s="285"/>
      <c r="BI53" s="285"/>
      <c r="BJ53" s="285"/>
      <c r="BK53" s="285">
        <f>BK54+BK55</f>
        <v>25818974</v>
      </c>
      <c r="BL53" s="285"/>
      <c r="BM53" s="285"/>
      <c r="BN53" s="285"/>
      <c r="BO53" s="285"/>
      <c r="BP53" s="285"/>
      <c r="BQ53" s="285"/>
      <c r="BR53" s="280" t="s">
        <v>34</v>
      </c>
      <c r="BS53" s="280"/>
      <c r="BT53" s="280"/>
      <c r="BU53" s="280"/>
      <c r="BV53" s="280"/>
      <c r="BW53" s="280"/>
      <c r="BX53" s="281"/>
    </row>
    <row r="54" spans="1:76" s="6" customFormat="1" ht="24" customHeight="1">
      <c r="A54" s="346" t="s">
        <v>77</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7"/>
      <c r="AF54" s="284" t="s">
        <v>50</v>
      </c>
      <c r="AG54" s="279"/>
      <c r="AH54" s="279"/>
      <c r="AI54" s="279"/>
      <c r="AJ54" s="279" t="s">
        <v>82</v>
      </c>
      <c r="AK54" s="279"/>
      <c r="AL54" s="279"/>
      <c r="AM54" s="279"/>
      <c r="AN54" s="279"/>
      <c r="AO54" s="279"/>
      <c r="AP54" s="279"/>
      <c r="AQ54" s="279"/>
      <c r="AR54" s="279"/>
      <c r="AS54" s="279"/>
      <c r="AT54" s="279"/>
      <c r="AU54" s="279"/>
      <c r="AV54" s="279"/>
      <c r="AW54" s="285">
        <f>'ЗП МЗ'!J31+'ЗП ИЦ'!EA24</f>
        <v>23087475</v>
      </c>
      <c r="AX54" s="285"/>
      <c r="AY54" s="285"/>
      <c r="AZ54" s="285"/>
      <c r="BA54" s="285"/>
      <c r="BB54" s="285"/>
      <c r="BC54" s="285"/>
      <c r="BD54" s="285">
        <f>12080062+11090916+344550+282900+481700</f>
        <v>24280128</v>
      </c>
      <c r="BE54" s="285"/>
      <c r="BF54" s="285"/>
      <c r="BG54" s="285"/>
      <c r="BH54" s="285"/>
      <c r="BI54" s="285"/>
      <c r="BJ54" s="285"/>
      <c r="BK54" s="285">
        <f>12605450+11811924+282900+481700</f>
        <v>25181974</v>
      </c>
      <c r="BL54" s="285"/>
      <c r="BM54" s="285"/>
      <c r="BN54" s="285"/>
      <c r="BO54" s="285"/>
      <c r="BP54" s="285"/>
      <c r="BQ54" s="285"/>
      <c r="BR54" s="280" t="s">
        <v>34</v>
      </c>
      <c r="BS54" s="280"/>
      <c r="BT54" s="280"/>
      <c r="BU54" s="280"/>
      <c r="BV54" s="280"/>
      <c r="BW54" s="280"/>
      <c r="BX54" s="281"/>
    </row>
    <row r="55" spans="1:76" s="6" customFormat="1" ht="12.75">
      <c r="A55" s="342" t="s">
        <v>78</v>
      </c>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3"/>
      <c r="AF55" s="284" t="s">
        <v>51</v>
      </c>
      <c r="AG55" s="279"/>
      <c r="AH55" s="279"/>
      <c r="AI55" s="279"/>
      <c r="AJ55" s="279" t="s">
        <v>83</v>
      </c>
      <c r="AK55" s="279"/>
      <c r="AL55" s="279"/>
      <c r="AM55" s="279"/>
      <c r="AN55" s="279"/>
      <c r="AO55" s="279"/>
      <c r="AP55" s="279"/>
      <c r="AQ55" s="279"/>
      <c r="AR55" s="279"/>
      <c r="AS55" s="279"/>
      <c r="AT55" s="279"/>
      <c r="AU55" s="279"/>
      <c r="AV55" s="279"/>
      <c r="AW55" s="285">
        <f>'ПВ МЗ'!F9+'ПВ МЗ'!F15+'ПВ МЗ'!G21+'ПВ МЗ'!G57+'ПВ ИЦ'!H9</f>
        <v>1234928</v>
      </c>
      <c r="AX55" s="285"/>
      <c r="AY55" s="285"/>
      <c r="AZ55" s="285"/>
      <c r="BA55" s="285"/>
      <c r="BB55" s="285"/>
      <c r="BC55" s="285"/>
      <c r="BD55" s="285">
        <f>637000</f>
        <v>637000</v>
      </c>
      <c r="BE55" s="285"/>
      <c r="BF55" s="285"/>
      <c r="BG55" s="285"/>
      <c r="BH55" s="285"/>
      <c r="BI55" s="285"/>
      <c r="BJ55" s="285"/>
      <c r="BK55" s="285">
        <v>637000</v>
      </c>
      <c r="BL55" s="285"/>
      <c r="BM55" s="285"/>
      <c r="BN55" s="285"/>
      <c r="BO55" s="285"/>
      <c r="BP55" s="285"/>
      <c r="BQ55" s="285"/>
      <c r="BR55" s="280" t="s">
        <v>34</v>
      </c>
      <c r="BS55" s="280"/>
      <c r="BT55" s="280"/>
      <c r="BU55" s="280"/>
      <c r="BV55" s="280"/>
      <c r="BW55" s="280"/>
      <c r="BX55" s="281"/>
    </row>
    <row r="56" spans="1:76" s="6" customFormat="1" ht="23.25" customHeight="1">
      <c r="A56" s="312" t="s">
        <v>79</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27"/>
      <c r="AF56" s="284" t="s">
        <v>69</v>
      </c>
      <c r="AG56" s="279"/>
      <c r="AH56" s="279"/>
      <c r="AI56" s="279"/>
      <c r="AJ56" s="279" t="s">
        <v>84</v>
      </c>
      <c r="AK56" s="279"/>
      <c r="AL56" s="279"/>
      <c r="AM56" s="279"/>
      <c r="AN56" s="279"/>
      <c r="AO56" s="279"/>
      <c r="AP56" s="279"/>
      <c r="AQ56" s="279"/>
      <c r="AR56" s="279"/>
      <c r="AS56" s="279"/>
      <c r="AT56" s="279"/>
      <c r="AU56" s="279"/>
      <c r="AV56" s="279"/>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0" t="s">
        <v>34</v>
      </c>
      <c r="BS56" s="280"/>
      <c r="BT56" s="280"/>
      <c r="BU56" s="280"/>
      <c r="BV56" s="280"/>
      <c r="BW56" s="280"/>
      <c r="BX56" s="281"/>
    </row>
    <row r="57" spans="1:76" s="6" customFormat="1" ht="35.25" customHeight="1">
      <c r="A57" s="328" t="s">
        <v>209</v>
      </c>
      <c r="B57" s="329"/>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30"/>
      <c r="AF57" s="284" t="s">
        <v>70</v>
      </c>
      <c r="AG57" s="279"/>
      <c r="AH57" s="279"/>
      <c r="AI57" s="279"/>
      <c r="AJ57" s="279" t="s">
        <v>85</v>
      </c>
      <c r="AK57" s="279"/>
      <c r="AL57" s="279"/>
      <c r="AM57" s="279"/>
      <c r="AN57" s="279"/>
      <c r="AO57" s="279"/>
      <c r="AP57" s="279"/>
      <c r="AQ57" s="279"/>
      <c r="AR57" s="279"/>
      <c r="AS57" s="279"/>
      <c r="AT57" s="279"/>
      <c r="AU57" s="279"/>
      <c r="AV57" s="279"/>
      <c r="AW57" s="285">
        <f>'НЧ МЗ'!F18+'НЧ ИЦ'!F16-0.01</f>
        <v>7012106.998280002</v>
      </c>
      <c r="AX57" s="285"/>
      <c r="AY57" s="285"/>
      <c r="AZ57" s="285"/>
      <c r="BA57" s="285"/>
      <c r="BB57" s="285"/>
      <c r="BC57" s="285"/>
      <c r="BD57" s="285">
        <f>3648179+3349457+104055+85500+145500</f>
        <v>7332691</v>
      </c>
      <c r="BE57" s="285"/>
      <c r="BF57" s="285"/>
      <c r="BG57" s="285"/>
      <c r="BH57" s="285"/>
      <c r="BI57" s="285"/>
      <c r="BJ57" s="285"/>
      <c r="BK57" s="285">
        <f>2806846+3567201+85500+145500</f>
        <v>6605047</v>
      </c>
      <c r="BL57" s="285"/>
      <c r="BM57" s="285"/>
      <c r="BN57" s="285"/>
      <c r="BO57" s="285"/>
      <c r="BP57" s="285"/>
      <c r="BQ57" s="285"/>
      <c r="BR57" s="280" t="s">
        <v>34</v>
      </c>
      <c r="BS57" s="280"/>
      <c r="BT57" s="280"/>
      <c r="BU57" s="280"/>
      <c r="BV57" s="280"/>
      <c r="BW57" s="280"/>
      <c r="BX57" s="281"/>
    </row>
    <row r="58" spans="1:76" s="6" customFormat="1" ht="22.5" customHeight="1">
      <c r="A58" s="435" t="s">
        <v>80</v>
      </c>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7"/>
      <c r="AF58" s="284" t="s">
        <v>71</v>
      </c>
      <c r="AG58" s="279"/>
      <c r="AH58" s="279"/>
      <c r="AI58" s="279"/>
      <c r="AJ58" s="279" t="s">
        <v>85</v>
      </c>
      <c r="AK58" s="279"/>
      <c r="AL58" s="279"/>
      <c r="AM58" s="279"/>
      <c r="AN58" s="279"/>
      <c r="AO58" s="279"/>
      <c r="AP58" s="279"/>
      <c r="AQ58" s="279"/>
      <c r="AR58" s="279"/>
      <c r="AS58" s="279"/>
      <c r="AT58" s="279"/>
      <c r="AU58" s="279"/>
      <c r="AV58" s="279"/>
      <c r="AW58" s="285">
        <f>AW57</f>
        <v>7012106.998280002</v>
      </c>
      <c r="AX58" s="285"/>
      <c r="AY58" s="285"/>
      <c r="AZ58" s="285"/>
      <c r="BA58" s="285"/>
      <c r="BB58" s="285"/>
      <c r="BC58" s="285"/>
      <c r="BD58" s="285">
        <f>BD57</f>
        <v>7332691</v>
      </c>
      <c r="BE58" s="285"/>
      <c r="BF58" s="285"/>
      <c r="BG58" s="285"/>
      <c r="BH58" s="285"/>
      <c r="BI58" s="285"/>
      <c r="BJ58" s="285"/>
      <c r="BK58" s="285">
        <f>BK57</f>
        <v>6605047</v>
      </c>
      <c r="BL58" s="285"/>
      <c r="BM58" s="285"/>
      <c r="BN58" s="285"/>
      <c r="BO58" s="285"/>
      <c r="BP58" s="285"/>
      <c r="BQ58" s="285"/>
      <c r="BR58" s="280" t="s">
        <v>34</v>
      </c>
      <c r="BS58" s="280"/>
      <c r="BT58" s="280"/>
      <c r="BU58" s="280"/>
      <c r="BV58" s="280"/>
      <c r="BW58" s="280"/>
      <c r="BX58" s="281"/>
    </row>
    <row r="59" spans="1:76" s="6" customFormat="1" ht="12.75">
      <c r="A59" s="339" t="s">
        <v>81</v>
      </c>
      <c r="B59" s="340"/>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1"/>
      <c r="AF59" s="284" t="s">
        <v>72</v>
      </c>
      <c r="AG59" s="279"/>
      <c r="AH59" s="279"/>
      <c r="AI59" s="279"/>
      <c r="AJ59" s="279" t="s">
        <v>85</v>
      </c>
      <c r="AK59" s="279"/>
      <c r="AL59" s="279"/>
      <c r="AM59" s="279"/>
      <c r="AN59" s="279"/>
      <c r="AO59" s="279"/>
      <c r="AP59" s="279"/>
      <c r="AQ59" s="279"/>
      <c r="AR59" s="279"/>
      <c r="AS59" s="279"/>
      <c r="AT59" s="279"/>
      <c r="AU59" s="279"/>
      <c r="AV59" s="279"/>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0" t="s">
        <v>34</v>
      </c>
      <c r="BS59" s="280"/>
      <c r="BT59" s="280"/>
      <c r="BU59" s="280"/>
      <c r="BV59" s="280"/>
      <c r="BW59" s="280"/>
      <c r="BX59" s="281"/>
    </row>
    <row r="60" spans="1:76" s="6" customFormat="1" ht="22.5" customHeight="1" hidden="1">
      <c r="A60" s="312" t="s">
        <v>86</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27"/>
      <c r="AF60" s="284" t="s">
        <v>87</v>
      </c>
      <c r="AG60" s="279"/>
      <c r="AH60" s="279"/>
      <c r="AI60" s="279"/>
      <c r="AJ60" s="279" t="s">
        <v>88</v>
      </c>
      <c r="AK60" s="279"/>
      <c r="AL60" s="279"/>
      <c r="AM60" s="279"/>
      <c r="AN60" s="279"/>
      <c r="AO60" s="279"/>
      <c r="AP60" s="279"/>
      <c r="AQ60" s="279"/>
      <c r="AR60" s="279"/>
      <c r="AS60" s="279"/>
      <c r="AT60" s="279"/>
      <c r="AU60" s="279"/>
      <c r="AV60" s="279"/>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0" t="s">
        <v>34</v>
      </c>
      <c r="BS60" s="280"/>
      <c r="BT60" s="280"/>
      <c r="BU60" s="280"/>
      <c r="BV60" s="280"/>
      <c r="BW60" s="280"/>
      <c r="BX60" s="281"/>
    </row>
    <row r="61" spans="1:76" s="6" customFormat="1" ht="22.5" customHeight="1" hidden="1">
      <c r="A61" s="312" t="s">
        <v>222</v>
      </c>
      <c r="B61" s="31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27"/>
      <c r="AF61" s="284" t="s">
        <v>91</v>
      </c>
      <c r="AG61" s="279"/>
      <c r="AH61" s="279"/>
      <c r="AI61" s="279"/>
      <c r="AJ61" s="279" t="s">
        <v>223</v>
      </c>
      <c r="AK61" s="279"/>
      <c r="AL61" s="279"/>
      <c r="AM61" s="279"/>
      <c r="AN61" s="279"/>
      <c r="AO61" s="279"/>
      <c r="AP61" s="279"/>
      <c r="AQ61" s="279"/>
      <c r="AR61" s="279"/>
      <c r="AS61" s="279"/>
      <c r="AT61" s="279"/>
      <c r="AU61" s="279"/>
      <c r="AV61" s="279"/>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0" t="s">
        <v>34</v>
      </c>
      <c r="BS61" s="280"/>
      <c r="BT61" s="280"/>
      <c r="BU61" s="280"/>
      <c r="BV61" s="280"/>
      <c r="BW61" s="280"/>
      <c r="BX61" s="281"/>
    </row>
    <row r="62" spans="1:76" s="6" customFormat="1" ht="24" customHeight="1" hidden="1">
      <c r="A62" s="312" t="s">
        <v>93</v>
      </c>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27"/>
      <c r="AF62" s="284" t="s">
        <v>92</v>
      </c>
      <c r="AG62" s="279"/>
      <c r="AH62" s="279"/>
      <c r="AI62" s="279"/>
      <c r="AJ62" s="279" t="s">
        <v>89</v>
      </c>
      <c r="AK62" s="279"/>
      <c r="AL62" s="279"/>
      <c r="AM62" s="279"/>
      <c r="AN62" s="279"/>
      <c r="AO62" s="279"/>
      <c r="AP62" s="279"/>
      <c r="AQ62" s="279"/>
      <c r="AR62" s="279"/>
      <c r="AS62" s="279"/>
      <c r="AT62" s="279"/>
      <c r="AU62" s="279"/>
      <c r="AV62" s="279"/>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0" t="s">
        <v>34</v>
      </c>
      <c r="BS62" s="280"/>
      <c r="BT62" s="280"/>
      <c r="BU62" s="280"/>
      <c r="BV62" s="280"/>
      <c r="BW62" s="280"/>
      <c r="BX62" s="281"/>
    </row>
    <row r="63" spans="1:76" s="6" customFormat="1" ht="25.5" customHeight="1" hidden="1">
      <c r="A63" s="312" t="s">
        <v>224</v>
      </c>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27"/>
      <c r="AF63" s="284" t="s">
        <v>225</v>
      </c>
      <c r="AG63" s="279"/>
      <c r="AH63" s="279"/>
      <c r="AI63" s="279"/>
      <c r="AJ63" s="279" t="s">
        <v>90</v>
      </c>
      <c r="AK63" s="279"/>
      <c r="AL63" s="279"/>
      <c r="AM63" s="279"/>
      <c r="AN63" s="279"/>
      <c r="AO63" s="279"/>
      <c r="AP63" s="279"/>
      <c r="AQ63" s="279"/>
      <c r="AR63" s="279"/>
      <c r="AS63" s="279"/>
      <c r="AT63" s="279"/>
      <c r="AU63" s="279"/>
      <c r="AV63" s="279"/>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0" t="s">
        <v>34</v>
      </c>
      <c r="BS63" s="280"/>
      <c r="BT63" s="280"/>
      <c r="BU63" s="280"/>
      <c r="BV63" s="280"/>
      <c r="BW63" s="280"/>
      <c r="BX63" s="281"/>
    </row>
    <row r="64" spans="1:76" s="6" customFormat="1" ht="24.75" customHeight="1" hidden="1">
      <c r="A64" s="339" t="s">
        <v>94</v>
      </c>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1"/>
      <c r="AF64" s="284" t="s">
        <v>226</v>
      </c>
      <c r="AG64" s="279"/>
      <c r="AH64" s="279"/>
      <c r="AI64" s="279"/>
      <c r="AJ64" s="279" t="s">
        <v>90</v>
      </c>
      <c r="AK64" s="279"/>
      <c r="AL64" s="279"/>
      <c r="AM64" s="279"/>
      <c r="AN64" s="279"/>
      <c r="AO64" s="279"/>
      <c r="AP64" s="279"/>
      <c r="AQ64" s="279"/>
      <c r="AR64" s="279"/>
      <c r="AS64" s="279"/>
      <c r="AT64" s="279"/>
      <c r="AU64" s="279"/>
      <c r="AV64" s="279"/>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0" t="s">
        <v>34</v>
      </c>
      <c r="BS64" s="280"/>
      <c r="BT64" s="280"/>
      <c r="BU64" s="280"/>
      <c r="BV64" s="280"/>
      <c r="BW64" s="280"/>
      <c r="BX64" s="281"/>
    </row>
    <row r="65" spans="1:76" s="6" customFormat="1" ht="11.25" customHeight="1">
      <c r="A65" s="441" t="s">
        <v>105</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3"/>
      <c r="AF65" s="284" t="s">
        <v>95</v>
      </c>
      <c r="AG65" s="279"/>
      <c r="AH65" s="279"/>
      <c r="AI65" s="279"/>
      <c r="AJ65" s="279" t="s">
        <v>108</v>
      </c>
      <c r="AK65" s="279"/>
      <c r="AL65" s="279"/>
      <c r="AM65" s="279"/>
      <c r="AN65" s="279"/>
      <c r="AO65" s="279"/>
      <c r="AP65" s="279"/>
      <c r="AQ65" s="279"/>
      <c r="AR65" s="279"/>
      <c r="AS65" s="279"/>
      <c r="AT65" s="279"/>
      <c r="AU65" s="279"/>
      <c r="AV65" s="279"/>
      <c r="AW65" s="285">
        <f>AW66</f>
        <v>73300</v>
      </c>
      <c r="AX65" s="285"/>
      <c r="AY65" s="285"/>
      <c r="AZ65" s="285"/>
      <c r="BA65" s="285"/>
      <c r="BB65" s="285"/>
      <c r="BC65" s="285"/>
      <c r="BD65" s="285">
        <f>BD66</f>
        <v>73300</v>
      </c>
      <c r="BE65" s="285"/>
      <c r="BF65" s="285"/>
      <c r="BG65" s="285"/>
      <c r="BH65" s="285"/>
      <c r="BI65" s="285"/>
      <c r="BJ65" s="285"/>
      <c r="BK65" s="285">
        <f>BK66</f>
        <v>73300</v>
      </c>
      <c r="BL65" s="285"/>
      <c r="BM65" s="285"/>
      <c r="BN65" s="285"/>
      <c r="BO65" s="285"/>
      <c r="BP65" s="285"/>
      <c r="BQ65" s="285"/>
      <c r="BR65" s="280" t="s">
        <v>34</v>
      </c>
      <c r="BS65" s="280"/>
      <c r="BT65" s="280"/>
      <c r="BU65" s="280"/>
      <c r="BV65" s="280"/>
      <c r="BW65" s="280"/>
      <c r="BX65" s="281"/>
    </row>
    <row r="66" spans="1:76" s="6" customFormat="1" ht="33.75" customHeight="1">
      <c r="A66" s="438" t="s">
        <v>106</v>
      </c>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40"/>
      <c r="AF66" s="284" t="s">
        <v>96</v>
      </c>
      <c r="AG66" s="279"/>
      <c r="AH66" s="279"/>
      <c r="AI66" s="279"/>
      <c r="AJ66" s="279" t="s">
        <v>109</v>
      </c>
      <c r="AK66" s="279"/>
      <c r="AL66" s="279"/>
      <c r="AM66" s="279"/>
      <c r="AN66" s="279"/>
      <c r="AO66" s="279"/>
      <c r="AP66" s="279"/>
      <c r="AQ66" s="279"/>
      <c r="AR66" s="279"/>
      <c r="AS66" s="279"/>
      <c r="AT66" s="279"/>
      <c r="AU66" s="279"/>
      <c r="AV66" s="279"/>
      <c r="AW66" s="285">
        <f>AW67</f>
        <v>73300</v>
      </c>
      <c r="AX66" s="285"/>
      <c r="AY66" s="285"/>
      <c r="AZ66" s="285"/>
      <c r="BA66" s="285"/>
      <c r="BB66" s="285"/>
      <c r="BC66" s="285"/>
      <c r="BD66" s="285">
        <f>BD67</f>
        <v>73300</v>
      </c>
      <c r="BE66" s="285"/>
      <c r="BF66" s="285"/>
      <c r="BG66" s="285"/>
      <c r="BH66" s="285"/>
      <c r="BI66" s="285"/>
      <c r="BJ66" s="285"/>
      <c r="BK66" s="285">
        <f>BK67</f>
        <v>73300</v>
      </c>
      <c r="BL66" s="285"/>
      <c r="BM66" s="285"/>
      <c r="BN66" s="285"/>
      <c r="BO66" s="285"/>
      <c r="BP66" s="285"/>
      <c r="BQ66" s="285"/>
      <c r="BR66" s="280" t="s">
        <v>34</v>
      </c>
      <c r="BS66" s="280"/>
      <c r="BT66" s="280"/>
      <c r="BU66" s="280"/>
      <c r="BV66" s="280"/>
      <c r="BW66" s="280"/>
      <c r="BX66" s="281"/>
    </row>
    <row r="67" spans="1:76" s="6" customFormat="1" ht="36" customHeight="1">
      <c r="A67" s="339" t="s">
        <v>107</v>
      </c>
      <c r="B67" s="340"/>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1"/>
      <c r="AF67" s="284" t="s">
        <v>97</v>
      </c>
      <c r="AG67" s="279"/>
      <c r="AH67" s="279"/>
      <c r="AI67" s="279"/>
      <c r="AJ67" s="279" t="s">
        <v>110</v>
      </c>
      <c r="AK67" s="279"/>
      <c r="AL67" s="279"/>
      <c r="AM67" s="279"/>
      <c r="AN67" s="279"/>
      <c r="AO67" s="279"/>
      <c r="AP67" s="279"/>
      <c r="AQ67" s="279"/>
      <c r="AR67" s="279"/>
      <c r="AS67" s="279"/>
      <c r="AT67" s="279"/>
      <c r="AU67" s="279"/>
      <c r="AV67" s="279"/>
      <c r="AW67" s="285">
        <f>'ПВ ИЦ'!E18</f>
        <v>73300</v>
      </c>
      <c r="AX67" s="285"/>
      <c r="AY67" s="285"/>
      <c r="AZ67" s="285"/>
      <c r="BA67" s="285"/>
      <c r="BB67" s="285"/>
      <c r="BC67" s="285"/>
      <c r="BD67" s="285">
        <v>73300</v>
      </c>
      <c r="BE67" s="285"/>
      <c r="BF67" s="285"/>
      <c r="BG67" s="285"/>
      <c r="BH67" s="285"/>
      <c r="BI67" s="285"/>
      <c r="BJ67" s="285"/>
      <c r="BK67" s="285">
        <v>73300</v>
      </c>
      <c r="BL67" s="285"/>
      <c r="BM67" s="285"/>
      <c r="BN67" s="285"/>
      <c r="BO67" s="285"/>
      <c r="BP67" s="285"/>
      <c r="BQ67" s="285"/>
      <c r="BR67" s="280" t="s">
        <v>34</v>
      </c>
      <c r="BS67" s="280"/>
      <c r="BT67" s="280"/>
      <c r="BU67" s="280"/>
      <c r="BV67" s="280"/>
      <c r="BW67" s="280"/>
      <c r="BX67" s="281"/>
    </row>
    <row r="68" spans="1:76" s="6" customFormat="1" ht="24.75" customHeight="1">
      <c r="A68" s="312" t="s">
        <v>111</v>
      </c>
      <c r="B68" s="313"/>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27"/>
      <c r="AF68" s="284" t="s">
        <v>98</v>
      </c>
      <c r="AG68" s="279"/>
      <c r="AH68" s="279"/>
      <c r="AI68" s="279"/>
      <c r="AJ68" s="279" t="s">
        <v>114</v>
      </c>
      <c r="AK68" s="279"/>
      <c r="AL68" s="279"/>
      <c r="AM68" s="279"/>
      <c r="AN68" s="279"/>
      <c r="AO68" s="279"/>
      <c r="AP68" s="279"/>
      <c r="AQ68" s="279"/>
      <c r="AR68" s="279"/>
      <c r="AS68" s="279"/>
      <c r="AT68" s="279"/>
      <c r="AU68" s="279"/>
      <c r="AV68" s="279"/>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0" t="s">
        <v>34</v>
      </c>
      <c r="BS68" s="280"/>
      <c r="BT68" s="280"/>
      <c r="BU68" s="280"/>
      <c r="BV68" s="280"/>
      <c r="BW68" s="280"/>
      <c r="BX68" s="281"/>
    </row>
    <row r="69" spans="1:76" s="6" customFormat="1" ht="49.5" customHeight="1">
      <c r="A69" s="312" t="s">
        <v>112</v>
      </c>
      <c r="B69" s="313"/>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27"/>
      <c r="AF69" s="284" t="s">
        <v>99</v>
      </c>
      <c r="AG69" s="279"/>
      <c r="AH69" s="279"/>
      <c r="AI69" s="279"/>
      <c r="AJ69" s="279" t="s">
        <v>115</v>
      </c>
      <c r="AK69" s="279"/>
      <c r="AL69" s="279"/>
      <c r="AM69" s="279"/>
      <c r="AN69" s="279"/>
      <c r="AO69" s="279"/>
      <c r="AP69" s="279"/>
      <c r="AQ69" s="279"/>
      <c r="AR69" s="279"/>
      <c r="AS69" s="279"/>
      <c r="AT69" s="279"/>
      <c r="AU69" s="279"/>
      <c r="AV69" s="279"/>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0" t="s">
        <v>34</v>
      </c>
      <c r="BS69" s="280"/>
      <c r="BT69" s="280"/>
      <c r="BU69" s="280"/>
      <c r="BV69" s="280"/>
      <c r="BW69" s="280"/>
      <c r="BX69" s="281"/>
    </row>
    <row r="70" spans="1:76" s="6" customFormat="1" ht="12" customHeight="1" hidden="1">
      <c r="A70" s="346" t="s">
        <v>227</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7"/>
      <c r="AF70" s="284" t="s">
        <v>100</v>
      </c>
      <c r="AG70" s="279"/>
      <c r="AH70" s="279"/>
      <c r="AI70" s="279"/>
      <c r="AJ70" s="279" t="s">
        <v>116</v>
      </c>
      <c r="AK70" s="279"/>
      <c r="AL70" s="279"/>
      <c r="AM70" s="279"/>
      <c r="AN70" s="279"/>
      <c r="AO70" s="279"/>
      <c r="AP70" s="279"/>
      <c r="AQ70" s="279"/>
      <c r="AR70" s="279"/>
      <c r="AS70" s="279"/>
      <c r="AT70" s="279"/>
      <c r="AU70" s="279"/>
      <c r="AV70" s="279"/>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0" t="s">
        <v>34</v>
      </c>
      <c r="BS70" s="280"/>
      <c r="BT70" s="280"/>
      <c r="BU70" s="280"/>
      <c r="BV70" s="280"/>
      <c r="BW70" s="280"/>
      <c r="BX70" s="281"/>
    </row>
    <row r="71" spans="1:76" s="6" customFormat="1" ht="12.75">
      <c r="A71" s="276" t="s">
        <v>113</v>
      </c>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8"/>
      <c r="AF71" s="284" t="s">
        <v>101</v>
      </c>
      <c r="AG71" s="279"/>
      <c r="AH71" s="279"/>
      <c r="AI71" s="279"/>
      <c r="AJ71" s="279" t="s">
        <v>117</v>
      </c>
      <c r="AK71" s="279"/>
      <c r="AL71" s="279"/>
      <c r="AM71" s="279"/>
      <c r="AN71" s="279"/>
      <c r="AO71" s="279"/>
      <c r="AP71" s="279"/>
      <c r="AQ71" s="279"/>
      <c r="AR71" s="279"/>
      <c r="AS71" s="279"/>
      <c r="AT71" s="279"/>
      <c r="AU71" s="279"/>
      <c r="AV71" s="279"/>
      <c r="AW71" s="285">
        <f>AW72+AW74</f>
        <v>209000</v>
      </c>
      <c r="AX71" s="285"/>
      <c r="AY71" s="285"/>
      <c r="AZ71" s="285"/>
      <c r="BA71" s="285"/>
      <c r="BB71" s="285"/>
      <c r="BC71" s="285"/>
      <c r="BD71" s="285"/>
      <c r="BE71" s="285"/>
      <c r="BF71" s="285"/>
      <c r="BG71" s="285"/>
      <c r="BH71" s="285"/>
      <c r="BI71" s="285"/>
      <c r="BJ71" s="285"/>
      <c r="BK71" s="285"/>
      <c r="BL71" s="285"/>
      <c r="BM71" s="285"/>
      <c r="BN71" s="285"/>
      <c r="BO71" s="285"/>
      <c r="BP71" s="285"/>
      <c r="BQ71" s="285"/>
      <c r="BR71" s="280"/>
      <c r="BS71" s="280"/>
      <c r="BT71" s="280"/>
      <c r="BU71" s="280"/>
      <c r="BV71" s="280"/>
      <c r="BW71" s="280"/>
      <c r="BX71" s="281"/>
    </row>
    <row r="72" spans="1:76" s="6" customFormat="1" ht="24" customHeight="1">
      <c r="A72" s="312" t="s">
        <v>136</v>
      </c>
      <c r="B72" s="313"/>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27"/>
      <c r="AF72" s="284" t="s">
        <v>102</v>
      </c>
      <c r="AG72" s="279"/>
      <c r="AH72" s="279"/>
      <c r="AI72" s="279"/>
      <c r="AJ72" s="279" t="s">
        <v>118</v>
      </c>
      <c r="AK72" s="279"/>
      <c r="AL72" s="279"/>
      <c r="AM72" s="279"/>
      <c r="AN72" s="279"/>
      <c r="AO72" s="279"/>
      <c r="AP72" s="279"/>
      <c r="AQ72" s="279"/>
      <c r="AR72" s="279"/>
      <c r="AS72" s="279"/>
      <c r="AT72" s="279"/>
      <c r="AU72" s="279"/>
      <c r="AV72" s="279"/>
      <c r="AW72" s="285">
        <f>AW73</f>
        <v>184000</v>
      </c>
      <c r="AX72" s="285"/>
      <c r="AY72" s="285"/>
      <c r="AZ72" s="285"/>
      <c r="BA72" s="285"/>
      <c r="BB72" s="285"/>
      <c r="BC72" s="285"/>
      <c r="BD72" s="285"/>
      <c r="BE72" s="285"/>
      <c r="BF72" s="285"/>
      <c r="BG72" s="285"/>
      <c r="BH72" s="285"/>
      <c r="BI72" s="285"/>
      <c r="BJ72" s="285"/>
      <c r="BK72" s="285"/>
      <c r="BL72" s="285"/>
      <c r="BM72" s="285"/>
      <c r="BN72" s="285"/>
      <c r="BO72" s="285"/>
      <c r="BP72" s="285"/>
      <c r="BQ72" s="285"/>
      <c r="BR72" s="280"/>
      <c r="BS72" s="280"/>
      <c r="BT72" s="280"/>
      <c r="BU72" s="280"/>
      <c r="BV72" s="280"/>
      <c r="BW72" s="280"/>
      <c r="BX72" s="281"/>
    </row>
    <row r="73" spans="1:76" s="6" customFormat="1" ht="23.25" customHeight="1">
      <c r="A73" s="312" t="s">
        <v>137</v>
      </c>
      <c r="B73" s="313"/>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27"/>
      <c r="AF73" s="284" t="s">
        <v>103</v>
      </c>
      <c r="AG73" s="279"/>
      <c r="AH73" s="279"/>
      <c r="AI73" s="279"/>
      <c r="AJ73" s="279" t="s">
        <v>119</v>
      </c>
      <c r="AK73" s="279"/>
      <c r="AL73" s="279"/>
      <c r="AM73" s="279"/>
      <c r="AN73" s="279"/>
      <c r="AO73" s="279"/>
      <c r="AP73" s="279"/>
      <c r="AQ73" s="279"/>
      <c r="AR73" s="279"/>
      <c r="AS73" s="279"/>
      <c r="AT73" s="279"/>
      <c r="AU73" s="279"/>
      <c r="AV73" s="279"/>
      <c r="AW73" s="285">
        <v>184000</v>
      </c>
      <c r="AX73" s="285"/>
      <c r="AY73" s="285"/>
      <c r="AZ73" s="285"/>
      <c r="BA73" s="285"/>
      <c r="BB73" s="285"/>
      <c r="BC73" s="285"/>
      <c r="BD73" s="285"/>
      <c r="BE73" s="285"/>
      <c r="BF73" s="285"/>
      <c r="BG73" s="285"/>
      <c r="BH73" s="285"/>
      <c r="BI73" s="285"/>
      <c r="BJ73" s="285"/>
      <c r="BK73" s="285"/>
      <c r="BL73" s="285"/>
      <c r="BM73" s="285"/>
      <c r="BN73" s="285"/>
      <c r="BO73" s="285"/>
      <c r="BP73" s="285"/>
      <c r="BQ73" s="285"/>
      <c r="BR73" s="280" t="s">
        <v>34</v>
      </c>
      <c r="BS73" s="280"/>
      <c r="BT73" s="280"/>
      <c r="BU73" s="280"/>
      <c r="BV73" s="280"/>
      <c r="BW73" s="280"/>
      <c r="BX73" s="281"/>
    </row>
    <row r="74" spans="1:76" s="6" customFormat="1" ht="11.25" customHeight="1">
      <c r="A74" s="444" t="s">
        <v>138</v>
      </c>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5"/>
      <c r="AF74" s="284" t="s">
        <v>104</v>
      </c>
      <c r="AG74" s="279"/>
      <c r="AH74" s="279"/>
      <c r="AI74" s="279"/>
      <c r="AJ74" s="279" t="s">
        <v>120</v>
      </c>
      <c r="AK74" s="279"/>
      <c r="AL74" s="279"/>
      <c r="AM74" s="279"/>
      <c r="AN74" s="279"/>
      <c r="AO74" s="279"/>
      <c r="AP74" s="279"/>
      <c r="AQ74" s="279"/>
      <c r="AR74" s="279"/>
      <c r="AS74" s="279"/>
      <c r="AT74" s="279"/>
      <c r="AU74" s="279"/>
      <c r="AV74" s="279"/>
      <c r="AW74" s="285">
        <v>25000</v>
      </c>
      <c r="AX74" s="285"/>
      <c r="AY74" s="285"/>
      <c r="AZ74" s="285"/>
      <c r="BA74" s="285"/>
      <c r="BB74" s="285"/>
      <c r="BC74" s="285"/>
      <c r="BD74" s="285"/>
      <c r="BE74" s="285"/>
      <c r="BF74" s="285"/>
      <c r="BG74" s="285"/>
      <c r="BH74" s="285"/>
      <c r="BI74" s="285"/>
      <c r="BJ74" s="285"/>
      <c r="BK74" s="285"/>
      <c r="BL74" s="285"/>
      <c r="BM74" s="285"/>
      <c r="BN74" s="285"/>
      <c r="BO74" s="285"/>
      <c r="BP74" s="285"/>
      <c r="BQ74" s="285"/>
      <c r="BR74" s="280" t="s">
        <v>34</v>
      </c>
      <c r="BS74" s="280"/>
      <c r="BT74" s="280"/>
      <c r="BU74" s="280"/>
      <c r="BV74" s="280"/>
      <c r="BW74" s="280"/>
      <c r="BX74" s="281"/>
    </row>
    <row r="75" spans="1:76" s="6" customFormat="1" ht="12.75" hidden="1">
      <c r="A75" s="276" t="s">
        <v>139</v>
      </c>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8"/>
      <c r="AF75" s="284" t="s">
        <v>127</v>
      </c>
      <c r="AG75" s="279"/>
      <c r="AH75" s="279"/>
      <c r="AI75" s="279"/>
      <c r="AJ75" s="279" t="s">
        <v>34</v>
      </c>
      <c r="AK75" s="279"/>
      <c r="AL75" s="279"/>
      <c r="AM75" s="279"/>
      <c r="AN75" s="279"/>
      <c r="AO75" s="279"/>
      <c r="AP75" s="279"/>
      <c r="AQ75" s="279"/>
      <c r="AR75" s="279"/>
      <c r="AS75" s="279"/>
      <c r="AT75" s="279"/>
      <c r="AU75" s="279"/>
      <c r="AV75" s="279"/>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0" t="s">
        <v>34</v>
      </c>
      <c r="BS75" s="280"/>
      <c r="BT75" s="280"/>
      <c r="BU75" s="280"/>
      <c r="BV75" s="280"/>
      <c r="BW75" s="280"/>
      <c r="BX75" s="281"/>
    </row>
    <row r="76" spans="1:76" s="6" customFormat="1" ht="24.75" customHeight="1" hidden="1">
      <c r="A76" s="328" t="s">
        <v>228</v>
      </c>
      <c r="B76" s="329"/>
      <c r="C76" s="329"/>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30"/>
      <c r="AF76" s="284" t="s">
        <v>128</v>
      </c>
      <c r="AG76" s="279"/>
      <c r="AH76" s="279"/>
      <c r="AI76" s="279"/>
      <c r="AJ76" s="279" t="s">
        <v>232</v>
      </c>
      <c r="AK76" s="279"/>
      <c r="AL76" s="279"/>
      <c r="AM76" s="279"/>
      <c r="AN76" s="279"/>
      <c r="AO76" s="279"/>
      <c r="AP76" s="279"/>
      <c r="AQ76" s="279"/>
      <c r="AR76" s="279"/>
      <c r="AS76" s="279"/>
      <c r="AT76" s="279"/>
      <c r="AU76" s="279"/>
      <c r="AV76" s="279"/>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0"/>
      <c r="BS76" s="280"/>
      <c r="BT76" s="280"/>
      <c r="BU76" s="280"/>
      <c r="BV76" s="280"/>
      <c r="BW76" s="280"/>
      <c r="BX76" s="281"/>
    </row>
    <row r="77" spans="1:76" s="6" customFormat="1" ht="12.75" hidden="1">
      <c r="A77" s="328" t="s">
        <v>235</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30"/>
      <c r="AF77" s="284" t="s">
        <v>129</v>
      </c>
      <c r="AG77" s="279"/>
      <c r="AH77" s="279"/>
      <c r="AI77" s="279"/>
      <c r="AJ77" s="279" t="s">
        <v>233</v>
      </c>
      <c r="AK77" s="279"/>
      <c r="AL77" s="279"/>
      <c r="AM77" s="279"/>
      <c r="AN77" s="279"/>
      <c r="AO77" s="279"/>
      <c r="AP77" s="279"/>
      <c r="AQ77" s="279"/>
      <c r="AR77" s="279"/>
      <c r="AS77" s="279"/>
      <c r="AT77" s="279"/>
      <c r="AU77" s="279"/>
      <c r="AV77" s="279"/>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0"/>
      <c r="BS77" s="280"/>
      <c r="BT77" s="280"/>
      <c r="BU77" s="280"/>
      <c r="BV77" s="280"/>
      <c r="BW77" s="280"/>
      <c r="BX77" s="281"/>
    </row>
    <row r="78" spans="1:76" s="6" customFormat="1" ht="24" customHeight="1" hidden="1">
      <c r="A78" s="282" t="s">
        <v>236</v>
      </c>
      <c r="B78" s="282"/>
      <c r="C78" s="282"/>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3"/>
      <c r="AF78" s="284" t="s">
        <v>130</v>
      </c>
      <c r="AG78" s="279"/>
      <c r="AH78" s="279"/>
      <c r="AI78" s="279"/>
      <c r="AJ78" s="279" t="s">
        <v>234</v>
      </c>
      <c r="AK78" s="279"/>
      <c r="AL78" s="279"/>
      <c r="AM78" s="279"/>
      <c r="AN78" s="279"/>
      <c r="AO78" s="279"/>
      <c r="AP78" s="279"/>
      <c r="AQ78" s="279"/>
      <c r="AR78" s="279"/>
      <c r="AS78" s="279"/>
      <c r="AT78" s="279"/>
      <c r="AU78" s="279"/>
      <c r="AV78" s="279"/>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0"/>
      <c r="BS78" s="280"/>
      <c r="BT78" s="280"/>
      <c r="BU78" s="280"/>
      <c r="BV78" s="280"/>
      <c r="BW78" s="280"/>
      <c r="BX78" s="281"/>
    </row>
    <row r="79" spans="1:76" s="6" customFormat="1" ht="12" customHeight="1" hidden="1">
      <c r="A79" s="328" t="s">
        <v>237</v>
      </c>
      <c r="B79" s="329"/>
      <c r="C79" s="329"/>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30"/>
      <c r="AF79" s="284" t="s">
        <v>229</v>
      </c>
      <c r="AG79" s="279"/>
      <c r="AH79" s="279"/>
      <c r="AI79" s="279"/>
      <c r="AJ79" s="279" t="s">
        <v>121</v>
      </c>
      <c r="AK79" s="279"/>
      <c r="AL79" s="279"/>
      <c r="AM79" s="279"/>
      <c r="AN79" s="279"/>
      <c r="AO79" s="279"/>
      <c r="AP79" s="279"/>
      <c r="AQ79" s="279"/>
      <c r="AR79" s="279"/>
      <c r="AS79" s="279"/>
      <c r="AT79" s="279"/>
      <c r="AU79" s="279"/>
      <c r="AV79" s="279"/>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0"/>
      <c r="BS79" s="280"/>
      <c r="BT79" s="280"/>
      <c r="BU79" s="280"/>
      <c r="BV79" s="280"/>
      <c r="BW79" s="280"/>
      <c r="BX79" s="281"/>
    </row>
    <row r="80" spans="1:76" s="6" customFormat="1" ht="12" customHeight="1" hidden="1">
      <c r="A80" s="282" t="s">
        <v>140</v>
      </c>
      <c r="B80" s="282"/>
      <c r="C80" s="282"/>
      <c r="D80" s="282"/>
      <c r="E80" s="282"/>
      <c r="F80" s="282"/>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3"/>
      <c r="AF80" s="284" t="s">
        <v>230</v>
      </c>
      <c r="AG80" s="279"/>
      <c r="AH80" s="279"/>
      <c r="AI80" s="279"/>
      <c r="AJ80" s="279" t="s">
        <v>122</v>
      </c>
      <c r="AK80" s="279"/>
      <c r="AL80" s="279"/>
      <c r="AM80" s="279"/>
      <c r="AN80" s="279"/>
      <c r="AO80" s="279"/>
      <c r="AP80" s="279"/>
      <c r="AQ80" s="279"/>
      <c r="AR80" s="279"/>
      <c r="AS80" s="279"/>
      <c r="AT80" s="279"/>
      <c r="AU80" s="279"/>
      <c r="AV80" s="279"/>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0"/>
      <c r="BS80" s="280"/>
      <c r="BT80" s="280"/>
      <c r="BU80" s="280"/>
      <c r="BV80" s="280"/>
      <c r="BW80" s="280"/>
      <c r="BX80" s="281"/>
    </row>
    <row r="81" spans="1:76" s="6" customFormat="1" ht="24" customHeight="1" hidden="1">
      <c r="A81" s="328" t="s">
        <v>141</v>
      </c>
      <c r="B81" s="329"/>
      <c r="C81" s="329"/>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30"/>
      <c r="AF81" s="284" t="s">
        <v>231</v>
      </c>
      <c r="AG81" s="279"/>
      <c r="AH81" s="279"/>
      <c r="AI81" s="279"/>
      <c r="AJ81" s="279" t="s">
        <v>123</v>
      </c>
      <c r="AK81" s="279"/>
      <c r="AL81" s="279"/>
      <c r="AM81" s="279"/>
      <c r="AN81" s="279"/>
      <c r="AO81" s="279"/>
      <c r="AP81" s="279"/>
      <c r="AQ81" s="279"/>
      <c r="AR81" s="279"/>
      <c r="AS81" s="279"/>
      <c r="AT81" s="279"/>
      <c r="AU81" s="279"/>
      <c r="AV81" s="279"/>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0"/>
      <c r="BS81" s="280"/>
      <c r="BT81" s="280"/>
      <c r="BU81" s="280"/>
      <c r="BV81" s="280"/>
      <c r="BW81" s="280"/>
      <c r="BX81" s="281"/>
    </row>
    <row r="82" spans="1:76" s="6" customFormat="1" ht="12" customHeight="1" hidden="1">
      <c r="A82" s="282"/>
      <c r="B82" s="282"/>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3"/>
      <c r="AF82" s="284"/>
      <c r="AG82" s="279"/>
      <c r="AH82" s="279"/>
      <c r="AI82" s="279"/>
      <c r="AJ82" s="279"/>
      <c r="AK82" s="279"/>
      <c r="AL82" s="279"/>
      <c r="AM82" s="279"/>
      <c r="AN82" s="279"/>
      <c r="AO82" s="279"/>
      <c r="AP82" s="279"/>
      <c r="AQ82" s="279"/>
      <c r="AR82" s="279"/>
      <c r="AS82" s="279"/>
      <c r="AT82" s="279"/>
      <c r="AU82" s="279"/>
      <c r="AV82" s="279"/>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0"/>
      <c r="BS82" s="280"/>
      <c r="BT82" s="280"/>
      <c r="BU82" s="280"/>
      <c r="BV82" s="280"/>
      <c r="BW82" s="280"/>
      <c r="BX82" s="281"/>
    </row>
    <row r="83" spans="1:76" s="6" customFormat="1" ht="12.75">
      <c r="A83" s="276" t="s">
        <v>142</v>
      </c>
      <c r="B83" s="277"/>
      <c r="C83" s="277"/>
      <c r="D83" s="277"/>
      <c r="E83" s="277"/>
      <c r="F83" s="277"/>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8"/>
      <c r="AF83" s="284" t="s">
        <v>131</v>
      </c>
      <c r="AG83" s="279"/>
      <c r="AH83" s="279"/>
      <c r="AI83" s="279"/>
      <c r="AJ83" s="279" t="s">
        <v>34</v>
      </c>
      <c r="AK83" s="279"/>
      <c r="AL83" s="279"/>
      <c r="AM83" s="279"/>
      <c r="AN83" s="279"/>
      <c r="AO83" s="279"/>
      <c r="AP83" s="279"/>
      <c r="AQ83" s="279"/>
      <c r="AR83" s="279"/>
      <c r="AS83" s="279"/>
      <c r="AT83" s="279"/>
      <c r="AU83" s="279"/>
      <c r="AV83" s="279"/>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0" t="s">
        <v>34</v>
      </c>
      <c r="BS83" s="280"/>
      <c r="BT83" s="280"/>
      <c r="BU83" s="280"/>
      <c r="BV83" s="280"/>
      <c r="BW83" s="280"/>
      <c r="BX83" s="281"/>
    </row>
    <row r="84" spans="1:76" s="6" customFormat="1" ht="36" customHeight="1">
      <c r="A84" s="312" t="s">
        <v>143</v>
      </c>
      <c r="B84" s="313"/>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27"/>
      <c r="AF84" s="284" t="s">
        <v>132</v>
      </c>
      <c r="AG84" s="279"/>
      <c r="AH84" s="279"/>
      <c r="AI84" s="279"/>
      <c r="AJ84" s="279" t="s">
        <v>124</v>
      </c>
      <c r="AK84" s="279"/>
      <c r="AL84" s="279"/>
      <c r="AM84" s="279"/>
      <c r="AN84" s="279"/>
      <c r="AO84" s="279"/>
      <c r="AP84" s="279"/>
      <c r="AQ84" s="279"/>
      <c r="AR84" s="279"/>
      <c r="AS84" s="279"/>
      <c r="AT84" s="279"/>
      <c r="AU84" s="279"/>
      <c r="AV84" s="279"/>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0" t="s">
        <v>34</v>
      </c>
      <c r="BS84" s="280"/>
      <c r="BT84" s="280"/>
      <c r="BU84" s="280"/>
      <c r="BV84" s="280"/>
      <c r="BW84" s="280"/>
      <c r="BX84" s="281"/>
    </row>
    <row r="85" spans="1:76" s="6" customFormat="1" ht="12.75">
      <c r="A85" s="276" t="s">
        <v>158</v>
      </c>
      <c r="B85" s="277"/>
      <c r="C85" s="277"/>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8"/>
      <c r="AF85" s="284" t="s">
        <v>133</v>
      </c>
      <c r="AG85" s="279"/>
      <c r="AH85" s="279"/>
      <c r="AI85" s="279"/>
      <c r="AJ85" s="279" t="s">
        <v>34</v>
      </c>
      <c r="AK85" s="279"/>
      <c r="AL85" s="279"/>
      <c r="AM85" s="279"/>
      <c r="AN85" s="279"/>
      <c r="AO85" s="279"/>
      <c r="AP85" s="279"/>
      <c r="AQ85" s="279"/>
      <c r="AR85" s="279"/>
      <c r="AS85" s="279"/>
      <c r="AT85" s="279"/>
      <c r="AU85" s="279"/>
      <c r="AV85" s="279"/>
      <c r="AW85" s="285">
        <f>AW88+AW90</f>
        <v>5505935.0024</v>
      </c>
      <c r="AX85" s="285"/>
      <c r="AY85" s="285"/>
      <c r="AZ85" s="285"/>
      <c r="BA85" s="285"/>
      <c r="BB85" s="285"/>
      <c r="BC85" s="285"/>
      <c r="BD85" s="285">
        <f>BD88+BD90</f>
        <v>908700</v>
      </c>
      <c r="BE85" s="285"/>
      <c r="BF85" s="285"/>
      <c r="BG85" s="285"/>
      <c r="BH85" s="285"/>
      <c r="BI85" s="285"/>
      <c r="BJ85" s="285"/>
      <c r="BK85" s="285">
        <f>BK88+BK89</f>
        <v>743700</v>
      </c>
      <c r="BL85" s="285"/>
      <c r="BM85" s="285"/>
      <c r="BN85" s="285"/>
      <c r="BO85" s="285"/>
      <c r="BP85" s="285"/>
      <c r="BQ85" s="285"/>
      <c r="BR85" s="280"/>
      <c r="BS85" s="280"/>
      <c r="BT85" s="280"/>
      <c r="BU85" s="280"/>
      <c r="BV85" s="280"/>
      <c r="BW85" s="280"/>
      <c r="BX85" s="281"/>
    </row>
    <row r="86" spans="1:76" s="6" customFormat="1" ht="36" customHeight="1">
      <c r="A86" s="346" t="s">
        <v>253</v>
      </c>
      <c r="B86" s="444"/>
      <c r="C86" s="444"/>
      <c r="D86" s="444"/>
      <c r="E86" s="444"/>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5"/>
      <c r="AF86" s="284" t="s">
        <v>134</v>
      </c>
      <c r="AG86" s="279"/>
      <c r="AH86" s="279"/>
      <c r="AI86" s="279"/>
      <c r="AJ86" s="279" t="s">
        <v>125</v>
      </c>
      <c r="AK86" s="279"/>
      <c r="AL86" s="279"/>
      <c r="AM86" s="279"/>
      <c r="AN86" s="279"/>
      <c r="AO86" s="279"/>
      <c r="AP86" s="279"/>
      <c r="AQ86" s="279"/>
      <c r="AR86" s="279"/>
      <c r="AS86" s="279"/>
      <c r="AT86" s="279"/>
      <c r="AU86" s="279"/>
      <c r="AV86" s="279"/>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0"/>
      <c r="BS86" s="280"/>
      <c r="BT86" s="280"/>
      <c r="BU86" s="280"/>
      <c r="BV86" s="280"/>
      <c r="BW86" s="280"/>
      <c r="BX86" s="281"/>
    </row>
    <row r="87" spans="1:76" s="6" customFormat="1" ht="24.75" customHeight="1">
      <c r="A87" s="312" t="s">
        <v>144</v>
      </c>
      <c r="B87" s="313"/>
      <c r="C87" s="313"/>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27"/>
      <c r="AF87" s="284" t="s">
        <v>135</v>
      </c>
      <c r="AG87" s="279"/>
      <c r="AH87" s="279"/>
      <c r="AI87" s="279"/>
      <c r="AJ87" s="279" t="s">
        <v>126</v>
      </c>
      <c r="AK87" s="279"/>
      <c r="AL87" s="279"/>
      <c r="AM87" s="279"/>
      <c r="AN87" s="279"/>
      <c r="AO87" s="279"/>
      <c r="AP87" s="279"/>
      <c r="AQ87" s="279"/>
      <c r="AR87" s="279"/>
      <c r="AS87" s="279"/>
      <c r="AT87" s="279"/>
      <c r="AU87" s="279"/>
      <c r="AV87" s="279"/>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0"/>
      <c r="BS87" s="280"/>
      <c r="BT87" s="280"/>
      <c r="BU87" s="280"/>
      <c r="BV87" s="280"/>
      <c r="BW87" s="280"/>
      <c r="BX87" s="281"/>
    </row>
    <row r="88" spans="1:76" s="6" customFormat="1" ht="12.75">
      <c r="A88" s="312" t="s">
        <v>254</v>
      </c>
      <c r="B88" s="313"/>
      <c r="C88" s="313"/>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27"/>
      <c r="AF88" s="284" t="s">
        <v>145</v>
      </c>
      <c r="AG88" s="279"/>
      <c r="AH88" s="279"/>
      <c r="AI88" s="279"/>
      <c r="AJ88" s="279" t="s">
        <v>146</v>
      </c>
      <c r="AK88" s="279"/>
      <c r="AL88" s="279"/>
      <c r="AM88" s="279"/>
      <c r="AN88" s="279"/>
      <c r="AO88" s="279"/>
      <c r="AP88" s="279"/>
      <c r="AQ88" s="279"/>
      <c r="AR88" s="279"/>
      <c r="AS88" s="279"/>
      <c r="AT88" s="279"/>
      <c r="AU88" s="279"/>
      <c r="AV88" s="279"/>
      <c r="AW88" s="285">
        <f>'244,247 МЗ'!G17+'244,247 МЗ'!G37+'244 МЗ (2)'!G31+'244 МЗ (2)'!G48+'244 ИЦ'!H26+'244 ИЦ'!H31+'244 ИЦ'!H52+'244 ИЦ'!H40</f>
        <v>2679495.003</v>
      </c>
      <c r="AX88" s="285"/>
      <c r="AY88" s="285"/>
      <c r="AZ88" s="285"/>
      <c r="BA88" s="285"/>
      <c r="BB88" s="285"/>
      <c r="BC88" s="285"/>
      <c r="BD88" s="285">
        <f>165000+12600+618400+31400+4300+77000</f>
        <v>908700</v>
      </c>
      <c r="BE88" s="285"/>
      <c r="BF88" s="285"/>
      <c r="BG88" s="285"/>
      <c r="BH88" s="285"/>
      <c r="BI88" s="285"/>
      <c r="BJ88" s="285"/>
      <c r="BK88" s="285">
        <f>12600+618400+31400+4300+77000</f>
        <v>743700</v>
      </c>
      <c r="BL88" s="285"/>
      <c r="BM88" s="285"/>
      <c r="BN88" s="285"/>
      <c r="BO88" s="285"/>
      <c r="BP88" s="285"/>
      <c r="BQ88" s="285"/>
      <c r="BR88" s="280"/>
      <c r="BS88" s="280"/>
      <c r="BT88" s="280"/>
      <c r="BU88" s="280"/>
      <c r="BV88" s="280"/>
      <c r="BW88" s="280"/>
      <c r="BX88" s="281"/>
    </row>
    <row r="89" spans="1:76" s="6" customFormat="1" ht="36" customHeight="1">
      <c r="A89" s="346" t="s">
        <v>259</v>
      </c>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7"/>
      <c r="AF89" s="308" t="s">
        <v>147</v>
      </c>
      <c r="AG89" s="301"/>
      <c r="AH89" s="301"/>
      <c r="AI89" s="302"/>
      <c r="AJ89" s="300" t="s">
        <v>255</v>
      </c>
      <c r="AK89" s="301"/>
      <c r="AL89" s="301"/>
      <c r="AM89" s="301"/>
      <c r="AN89" s="301"/>
      <c r="AO89" s="301"/>
      <c r="AP89" s="301"/>
      <c r="AQ89" s="302"/>
      <c r="AR89" s="300"/>
      <c r="AS89" s="301"/>
      <c r="AT89" s="301"/>
      <c r="AU89" s="301"/>
      <c r="AV89" s="302"/>
      <c r="AW89" s="286"/>
      <c r="AX89" s="287"/>
      <c r="AY89" s="287"/>
      <c r="AZ89" s="287"/>
      <c r="BA89" s="287"/>
      <c r="BB89" s="287"/>
      <c r="BC89" s="288"/>
      <c r="BD89" s="286"/>
      <c r="BE89" s="287"/>
      <c r="BF89" s="287"/>
      <c r="BG89" s="287"/>
      <c r="BH89" s="287"/>
      <c r="BI89" s="287"/>
      <c r="BJ89" s="288"/>
      <c r="BK89" s="286"/>
      <c r="BL89" s="287"/>
      <c r="BM89" s="287"/>
      <c r="BN89" s="287"/>
      <c r="BO89" s="287"/>
      <c r="BP89" s="287"/>
      <c r="BQ89" s="288"/>
      <c r="BR89" s="292"/>
      <c r="BS89" s="293"/>
      <c r="BT89" s="293"/>
      <c r="BU89" s="293"/>
      <c r="BV89" s="293"/>
      <c r="BW89" s="293"/>
      <c r="BX89" s="294"/>
    </row>
    <row r="90" spans="1:76" s="6" customFormat="1" ht="12" customHeight="1">
      <c r="A90" s="328" t="s">
        <v>258</v>
      </c>
      <c r="B90" s="329"/>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30"/>
      <c r="AF90" s="284" t="s">
        <v>256</v>
      </c>
      <c r="AG90" s="279"/>
      <c r="AH90" s="279"/>
      <c r="AI90" s="279"/>
      <c r="AJ90" s="279" t="s">
        <v>257</v>
      </c>
      <c r="AK90" s="279"/>
      <c r="AL90" s="279"/>
      <c r="AM90" s="279"/>
      <c r="AN90" s="279"/>
      <c r="AO90" s="279"/>
      <c r="AP90" s="279"/>
      <c r="AQ90" s="279"/>
      <c r="AR90" s="279"/>
      <c r="AS90" s="279"/>
      <c r="AT90" s="279"/>
      <c r="AU90" s="279"/>
      <c r="AV90" s="279"/>
      <c r="AW90" s="285">
        <f>'244,247 МЗ'!G57</f>
        <v>2826439.9994</v>
      </c>
      <c r="AX90" s="285"/>
      <c r="AY90" s="285"/>
      <c r="AZ90" s="285"/>
      <c r="BA90" s="285"/>
      <c r="BB90" s="285"/>
      <c r="BC90" s="285"/>
      <c r="BD90" s="285"/>
      <c r="BE90" s="285"/>
      <c r="BF90" s="285"/>
      <c r="BG90" s="285"/>
      <c r="BH90" s="285"/>
      <c r="BI90" s="285"/>
      <c r="BJ90" s="285"/>
      <c r="BK90" s="285"/>
      <c r="BL90" s="285"/>
      <c r="BM90" s="285"/>
      <c r="BN90" s="285"/>
      <c r="BO90" s="285"/>
      <c r="BP90" s="285"/>
      <c r="BQ90" s="285"/>
      <c r="BR90" s="280"/>
      <c r="BS90" s="280"/>
      <c r="BT90" s="280"/>
      <c r="BU90" s="280"/>
      <c r="BV90" s="280"/>
      <c r="BW90" s="280"/>
      <c r="BX90" s="281"/>
    </row>
    <row r="91" spans="1:76" s="6" customFormat="1" ht="23.25" customHeight="1">
      <c r="A91" s="438" t="s">
        <v>261</v>
      </c>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40"/>
      <c r="AF91" s="284" t="s">
        <v>260</v>
      </c>
      <c r="AG91" s="279"/>
      <c r="AH91" s="279"/>
      <c r="AI91" s="279"/>
      <c r="AJ91" s="279" t="s">
        <v>150</v>
      </c>
      <c r="AK91" s="279"/>
      <c r="AL91" s="279"/>
      <c r="AM91" s="279"/>
      <c r="AN91" s="279"/>
      <c r="AO91" s="279"/>
      <c r="AP91" s="279"/>
      <c r="AQ91" s="279"/>
      <c r="AR91" s="279"/>
      <c r="AS91" s="279"/>
      <c r="AT91" s="279"/>
      <c r="AU91" s="279"/>
      <c r="AV91" s="279"/>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0"/>
      <c r="BS91" s="280"/>
      <c r="BT91" s="280"/>
      <c r="BU91" s="280"/>
      <c r="BV91" s="280"/>
      <c r="BW91" s="280"/>
      <c r="BX91" s="281"/>
    </row>
    <row r="92" spans="1:76" s="6" customFormat="1" ht="36" customHeight="1">
      <c r="A92" s="339" t="s">
        <v>159</v>
      </c>
      <c r="B92" s="340"/>
      <c r="C92" s="340"/>
      <c r="D92" s="340"/>
      <c r="E92" s="340"/>
      <c r="F92" s="340"/>
      <c r="G92" s="340"/>
      <c r="H92" s="340"/>
      <c r="I92" s="340"/>
      <c r="J92" s="340"/>
      <c r="K92" s="340"/>
      <c r="L92" s="340"/>
      <c r="M92" s="340"/>
      <c r="N92" s="340"/>
      <c r="O92" s="340"/>
      <c r="P92" s="340"/>
      <c r="Q92" s="340"/>
      <c r="R92" s="340"/>
      <c r="S92" s="340"/>
      <c r="T92" s="340"/>
      <c r="U92" s="340"/>
      <c r="V92" s="340"/>
      <c r="W92" s="340"/>
      <c r="X92" s="340"/>
      <c r="Y92" s="340"/>
      <c r="Z92" s="340"/>
      <c r="AA92" s="340"/>
      <c r="AB92" s="340"/>
      <c r="AC92" s="340"/>
      <c r="AD92" s="340"/>
      <c r="AE92" s="341"/>
      <c r="AF92" s="284" t="s">
        <v>262</v>
      </c>
      <c r="AG92" s="279"/>
      <c r="AH92" s="279"/>
      <c r="AI92" s="279"/>
      <c r="AJ92" s="279" t="s">
        <v>151</v>
      </c>
      <c r="AK92" s="279"/>
      <c r="AL92" s="279"/>
      <c r="AM92" s="279"/>
      <c r="AN92" s="279"/>
      <c r="AO92" s="279"/>
      <c r="AP92" s="279"/>
      <c r="AQ92" s="279"/>
      <c r="AR92" s="279"/>
      <c r="AS92" s="279"/>
      <c r="AT92" s="279"/>
      <c r="AU92" s="279"/>
      <c r="AV92" s="279"/>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0"/>
      <c r="BS92" s="280"/>
      <c r="BT92" s="280"/>
      <c r="BU92" s="280"/>
      <c r="BV92" s="280"/>
      <c r="BW92" s="280"/>
      <c r="BX92" s="281"/>
    </row>
    <row r="93" spans="1:76" s="6" customFormat="1" ht="24" customHeight="1">
      <c r="A93" s="339" t="s">
        <v>264</v>
      </c>
      <c r="B93" s="340"/>
      <c r="C93" s="340"/>
      <c r="D93" s="340"/>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1"/>
      <c r="AF93" s="284" t="s">
        <v>263</v>
      </c>
      <c r="AG93" s="279"/>
      <c r="AH93" s="279"/>
      <c r="AI93" s="279"/>
      <c r="AJ93" s="279" t="s">
        <v>152</v>
      </c>
      <c r="AK93" s="279"/>
      <c r="AL93" s="279"/>
      <c r="AM93" s="279"/>
      <c r="AN93" s="279"/>
      <c r="AO93" s="279"/>
      <c r="AP93" s="279"/>
      <c r="AQ93" s="279"/>
      <c r="AR93" s="279"/>
      <c r="AS93" s="279"/>
      <c r="AT93" s="279"/>
      <c r="AU93" s="279"/>
      <c r="AV93" s="279"/>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1"/>
    </row>
    <row r="94" spans="1:76" s="6" customFormat="1" ht="12">
      <c r="A94" s="446" t="s">
        <v>160</v>
      </c>
      <c r="B94" s="447"/>
      <c r="C94" s="447"/>
      <c r="D94" s="447"/>
      <c r="E94" s="447"/>
      <c r="F94" s="447"/>
      <c r="G94" s="447"/>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8"/>
      <c r="AF94" s="335" t="s">
        <v>148</v>
      </c>
      <c r="AG94" s="334"/>
      <c r="AH94" s="334"/>
      <c r="AI94" s="334"/>
      <c r="AJ94" s="334" t="s">
        <v>149</v>
      </c>
      <c r="AK94" s="334"/>
      <c r="AL94" s="334"/>
      <c r="AM94" s="334"/>
      <c r="AN94" s="334"/>
      <c r="AO94" s="334"/>
      <c r="AP94" s="334"/>
      <c r="AQ94" s="334"/>
      <c r="AR94" s="279"/>
      <c r="AS94" s="279"/>
      <c r="AT94" s="279"/>
      <c r="AU94" s="279"/>
      <c r="AV94" s="279"/>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t="s">
        <v>34</v>
      </c>
      <c r="BS94" s="280"/>
      <c r="BT94" s="280"/>
      <c r="BU94" s="280"/>
      <c r="BV94" s="280"/>
      <c r="BW94" s="280"/>
      <c r="BX94" s="281"/>
    </row>
    <row r="95" spans="1:76" s="6" customFormat="1" ht="25.5" customHeight="1">
      <c r="A95" s="312" t="s">
        <v>161</v>
      </c>
      <c r="B95" s="313"/>
      <c r="C95" s="313"/>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27"/>
      <c r="AF95" s="284" t="s">
        <v>206</v>
      </c>
      <c r="AG95" s="279"/>
      <c r="AH95" s="279"/>
      <c r="AI95" s="279"/>
      <c r="AJ95" s="279"/>
      <c r="AK95" s="279"/>
      <c r="AL95" s="279"/>
      <c r="AM95" s="279"/>
      <c r="AN95" s="279"/>
      <c r="AO95" s="279"/>
      <c r="AP95" s="279"/>
      <c r="AQ95" s="279"/>
      <c r="AR95" s="279"/>
      <c r="AS95" s="279"/>
      <c r="AT95" s="279"/>
      <c r="AU95" s="279"/>
      <c r="AV95" s="279"/>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t="s">
        <v>34</v>
      </c>
      <c r="BS95" s="280"/>
      <c r="BT95" s="280"/>
      <c r="BU95" s="280"/>
      <c r="BV95" s="280"/>
      <c r="BW95" s="280"/>
      <c r="BX95" s="281"/>
    </row>
    <row r="96" spans="1:76" s="6" customFormat="1" ht="12">
      <c r="A96" s="312" t="s">
        <v>162</v>
      </c>
      <c r="B96" s="313"/>
      <c r="C96" s="313"/>
      <c r="D96" s="313"/>
      <c r="E96" s="313"/>
      <c r="F96" s="313"/>
      <c r="G96" s="313"/>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27"/>
      <c r="AF96" s="284" t="s">
        <v>207</v>
      </c>
      <c r="AG96" s="279"/>
      <c r="AH96" s="279"/>
      <c r="AI96" s="279"/>
      <c r="AJ96" s="279"/>
      <c r="AK96" s="279"/>
      <c r="AL96" s="279"/>
      <c r="AM96" s="279"/>
      <c r="AN96" s="279"/>
      <c r="AO96" s="279"/>
      <c r="AP96" s="279"/>
      <c r="AQ96" s="279"/>
      <c r="AR96" s="279"/>
      <c r="AS96" s="279"/>
      <c r="AT96" s="279"/>
      <c r="AU96" s="279"/>
      <c r="AV96" s="279"/>
      <c r="AW96" s="280"/>
      <c r="AX96" s="280"/>
      <c r="AY96" s="280"/>
      <c r="AZ96" s="280"/>
      <c r="BA96" s="280"/>
      <c r="BB96" s="280"/>
      <c r="BC96" s="280"/>
      <c r="BD96" s="280"/>
      <c r="BE96" s="280"/>
      <c r="BF96" s="280"/>
      <c r="BG96" s="280"/>
      <c r="BH96" s="280"/>
      <c r="BI96" s="280"/>
      <c r="BJ96" s="280"/>
      <c r="BK96" s="280"/>
      <c r="BL96" s="280"/>
      <c r="BM96" s="280"/>
      <c r="BN96" s="280"/>
      <c r="BO96" s="280"/>
      <c r="BP96" s="280"/>
      <c r="BQ96" s="280"/>
      <c r="BR96" s="280" t="s">
        <v>34</v>
      </c>
      <c r="BS96" s="280"/>
      <c r="BT96" s="280"/>
      <c r="BU96" s="280"/>
      <c r="BV96" s="280"/>
      <c r="BW96" s="280"/>
      <c r="BX96" s="281"/>
    </row>
    <row r="97" spans="1:76" s="6" customFormat="1" ht="12">
      <c r="A97" s="328" t="s">
        <v>163</v>
      </c>
      <c r="B97" s="329"/>
      <c r="C97" s="329"/>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29"/>
      <c r="AB97" s="329"/>
      <c r="AC97" s="329"/>
      <c r="AD97" s="329"/>
      <c r="AE97" s="330"/>
      <c r="AF97" s="284" t="s">
        <v>208</v>
      </c>
      <c r="AG97" s="279"/>
      <c r="AH97" s="279"/>
      <c r="AI97" s="279"/>
      <c r="AJ97" s="279"/>
      <c r="AK97" s="279"/>
      <c r="AL97" s="279"/>
      <c r="AM97" s="279"/>
      <c r="AN97" s="279"/>
      <c r="AO97" s="279"/>
      <c r="AP97" s="279"/>
      <c r="AQ97" s="279"/>
      <c r="AR97" s="279"/>
      <c r="AS97" s="279"/>
      <c r="AT97" s="279"/>
      <c r="AU97" s="279"/>
      <c r="AV97" s="279"/>
      <c r="AW97" s="280"/>
      <c r="AX97" s="280"/>
      <c r="AY97" s="280"/>
      <c r="AZ97" s="280"/>
      <c r="BA97" s="280"/>
      <c r="BB97" s="280"/>
      <c r="BC97" s="280"/>
      <c r="BD97" s="280"/>
      <c r="BE97" s="280"/>
      <c r="BF97" s="280"/>
      <c r="BG97" s="280"/>
      <c r="BH97" s="280"/>
      <c r="BI97" s="280"/>
      <c r="BJ97" s="280"/>
      <c r="BK97" s="280"/>
      <c r="BL97" s="280"/>
      <c r="BM97" s="280"/>
      <c r="BN97" s="280"/>
      <c r="BO97" s="280"/>
      <c r="BP97" s="280"/>
      <c r="BQ97" s="280"/>
      <c r="BR97" s="280" t="s">
        <v>34</v>
      </c>
      <c r="BS97" s="280"/>
      <c r="BT97" s="280"/>
      <c r="BU97" s="280"/>
      <c r="BV97" s="280"/>
      <c r="BW97" s="280"/>
      <c r="BX97" s="281"/>
    </row>
    <row r="98" spans="1:76" s="6" customFormat="1" ht="12">
      <c r="A98" s="449" t="s">
        <v>164</v>
      </c>
      <c r="B98" s="450"/>
      <c r="C98" s="450"/>
      <c r="D98" s="450"/>
      <c r="E98" s="450"/>
      <c r="F98" s="450"/>
      <c r="G98" s="450"/>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1"/>
      <c r="AF98" s="335" t="s">
        <v>153</v>
      </c>
      <c r="AG98" s="334"/>
      <c r="AH98" s="334"/>
      <c r="AI98" s="334"/>
      <c r="AJ98" s="334" t="s">
        <v>34</v>
      </c>
      <c r="AK98" s="334"/>
      <c r="AL98" s="334"/>
      <c r="AM98" s="334"/>
      <c r="AN98" s="334"/>
      <c r="AO98" s="334"/>
      <c r="AP98" s="334"/>
      <c r="AQ98" s="334"/>
      <c r="AR98" s="279"/>
      <c r="AS98" s="279"/>
      <c r="AT98" s="279"/>
      <c r="AU98" s="279"/>
      <c r="AV98" s="279"/>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t="s">
        <v>34</v>
      </c>
      <c r="BS98" s="280"/>
      <c r="BT98" s="280"/>
      <c r="BU98" s="280"/>
      <c r="BV98" s="280"/>
      <c r="BW98" s="280"/>
      <c r="BX98" s="281"/>
    </row>
    <row r="99" spans="1:76" s="6" customFormat="1" ht="24" customHeight="1">
      <c r="A99" s="312" t="s">
        <v>154</v>
      </c>
      <c r="B99" s="313"/>
      <c r="C99" s="313"/>
      <c r="D99" s="313"/>
      <c r="E99" s="313"/>
      <c r="F99" s="313"/>
      <c r="G99" s="313"/>
      <c r="H99" s="313"/>
      <c r="I99" s="313"/>
      <c r="J99" s="313"/>
      <c r="K99" s="313"/>
      <c r="L99" s="313"/>
      <c r="M99" s="313"/>
      <c r="N99" s="313"/>
      <c r="O99" s="313"/>
      <c r="P99" s="313"/>
      <c r="Q99" s="313"/>
      <c r="R99" s="313"/>
      <c r="S99" s="313"/>
      <c r="T99" s="313"/>
      <c r="U99" s="313"/>
      <c r="V99" s="313"/>
      <c r="W99" s="313"/>
      <c r="X99" s="313"/>
      <c r="Y99" s="313"/>
      <c r="Z99" s="313"/>
      <c r="AA99" s="313"/>
      <c r="AB99" s="313"/>
      <c r="AC99" s="313"/>
      <c r="AD99" s="313"/>
      <c r="AE99" s="327"/>
      <c r="AF99" s="284" t="s">
        <v>155</v>
      </c>
      <c r="AG99" s="279"/>
      <c r="AH99" s="279"/>
      <c r="AI99" s="279"/>
      <c r="AJ99" s="279" t="s">
        <v>156</v>
      </c>
      <c r="AK99" s="279"/>
      <c r="AL99" s="279"/>
      <c r="AM99" s="279"/>
      <c r="AN99" s="279"/>
      <c r="AO99" s="279"/>
      <c r="AP99" s="279"/>
      <c r="AQ99" s="279"/>
      <c r="AR99" s="279"/>
      <c r="AS99" s="279"/>
      <c r="AT99" s="279"/>
      <c r="AU99" s="279"/>
      <c r="AV99" s="279"/>
      <c r="AW99" s="280"/>
      <c r="AX99" s="280"/>
      <c r="AY99" s="280"/>
      <c r="AZ99" s="280"/>
      <c r="BA99" s="280"/>
      <c r="BB99" s="280"/>
      <c r="BC99" s="280"/>
      <c r="BD99" s="280"/>
      <c r="BE99" s="280"/>
      <c r="BF99" s="280"/>
      <c r="BG99" s="280"/>
      <c r="BH99" s="280"/>
      <c r="BI99" s="280"/>
      <c r="BJ99" s="280"/>
      <c r="BK99" s="280"/>
      <c r="BL99" s="280"/>
      <c r="BM99" s="280"/>
      <c r="BN99" s="280"/>
      <c r="BO99" s="280"/>
      <c r="BP99" s="280"/>
      <c r="BQ99" s="280"/>
      <c r="BR99" s="280" t="s">
        <v>34</v>
      </c>
      <c r="BS99" s="280"/>
      <c r="BT99" s="280"/>
      <c r="BU99" s="280"/>
      <c r="BV99" s="280"/>
      <c r="BW99" s="280"/>
      <c r="BX99" s="281"/>
    </row>
    <row r="100" spans="1:76" s="6" customFormat="1" ht="12.75" thickBot="1">
      <c r="A100" s="454"/>
      <c r="B100" s="455"/>
      <c r="C100" s="455"/>
      <c r="D100" s="455"/>
      <c r="E100" s="455"/>
      <c r="F100" s="455"/>
      <c r="G100" s="455"/>
      <c r="H100" s="455"/>
      <c r="I100" s="455"/>
      <c r="J100" s="455"/>
      <c r="K100" s="455"/>
      <c r="L100" s="455"/>
      <c r="M100" s="455"/>
      <c r="N100" s="455"/>
      <c r="O100" s="455"/>
      <c r="P100" s="455"/>
      <c r="Q100" s="455"/>
      <c r="R100" s="455"/>
      <c r="S100" s="455"/>
      <c r="T100" s="455"/>
      <c r="U100" s="455"/>
      <c r="V100" s="455"/>
      <c r="W100" s="455"/>
      <c r="X100" s="455"/>
      <c r="Y100" s="455"/>
      <c r="Z100" s="455"/>
      <c r="AA100" s="455"/>
      <c r="AB100" s="455"/>
      <c r="AC100" s="455"/>
      <c r="AD100" s="455"/>
      <c r="AE100" s="456"/>
      <c r="AF100" s="457"/>
      <c r="AG100" s="458"/>
      <c r="AH100" s="458"/>
      <c r="AI100" s="458"/>
      <c r="AJ100" s="458"/>
      <c r="AK100" s="458"/>
      <c r="AL100" s="458"/>
      <c r="AM100" s="458"/>
      <c r="AN100" s="458"/>
      <c r="AO100" s="458"/>
      <c r="AP100" s="458"/>
      <c r="AQ100" s="458"/>
      <c r="AR100" s="458"/>
      <c r="AS100" s="458"/>
      <c r="AT100" s="458"/>
      <c r="AU100" s="458"/>
      <c r="AV100" s="458"/>
      <c r="AW100" s="459"/>
      <c r="AX100" s="459"/>
      <c r="AY100" s="459"/>
      <c r="AZ100" s="459"/>
      <c r="BA100" s="459"/>
      <c r="BB100" s="459"/>
      <c r="BC100" s="459"/>
      <c r="BD100" s="459"/>
      <c r="BE100" s="459"/>
      <c r="BF100" s="459"/>
      <c r="BG100" s="459"/>
      <c r="BH100" s="459"/>
      <c r="BI100" s="459"/>
      <c r="BJ100" s="459"/>
      <c r="BK100" s="459"/>
      <c r="BL100" s="459"/>
      <c r="BM100" s="459"/>
      <c r="BN100" s="459"/>
      <c r="BO100" s="459"/>
      <c r="BP100" s="459"/>
      <c r="BQ100" s="459"/>
      <c r="BR100" s="459"/>
      <c r="BS100" s="459"/>
      <c r="BT100" s="459"/>
      <c r="BU100" s="459"/>
      <c r="BV100" s="459"/>
      <c r="BW100" s="459"/>
      <c r="BX100" s="460"/>
    </row>
    <row r="101" spans="1:16" ht="12.75">
      <c r="A101" s="4"/>
      <c r="B101" s="4"/>
      <c r="C101" s="4"/>
      <c r="D101" s="4"/>
      <c r="E101" s="4"/>
      <c r="F101" s="4"/>
      <c r="G101" s="4"/>
      <c r="H101" s="4"/>
      <c r="I101" s="4"/>
      <c r="J101" s="4"/>
      <c r="K101" s="4"/>
      <c r="L101" s="4"/>
      <c r="M101" s="4"/>
      <c r="N101" s="4"/>
      <c r="O101" s="4"/>
      <c r="P101" s="4"/>
    </row>
    <row r="102" spans="1:76" ht="12.75">
      <c r="A102" s="452" t="s">
        <v>211</v>
      </c>
      <c r="B102" s="453"/>
      <c r="C102" s="453"/>
      <c r="D102" s="453"/>
      <c r="E102" s="453"/>
      <c r="F102" s="453"/>
      <c r="G102" s="453"/>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3"/>
      <c r="AY102" s="453"/>
      <c r="AZ102" s="453"/>
      <c r="BA102" s="453"/>
      <c r="BB102" s="453"/>
      <c r="BC102" s="453"/>
      <c r="BD102" s="453"/>
      <c r="BE102" s="453"/>
      <c r="BF102" s="453"/>
      <c r="BG102" s="453"/>
      <c r="BH102" s="453"/>
      <c r="BI102" s="453"/>
      <c r="BJ102" s="453"/>
      <c r="BK102" s="453"/>
      <c r="BL102" s="453"/>
      <c r="BM102" s="453"/>
      <c r="BN102" s="453"/>
      <c r="BO102" s="453"/>
      <c r="BP102" s="453"/>
      <c r="BQ102" s="453"/>
      <c r="BR102" s="453"/>
      <c r="BS102" s="453"/>
      <c r="BT102" s="453"/>
      <c r="BU102" s="453"/>
      <c r="BV102" s="453"/>
      <c r="BW102" s="453"/>
      <c r="BX102" s="453"/>
    </row>
    <row r="103" spans="1:76" ht="12.75">
      <c r="A103" s="452" t="s">
        <v>212</v>
      </c>
      <c r="B103" s="453"/>
      <c r="C103" s="453"/>
      <c r="D103" s="453"/>
      <c r="E103" s="453"/>
      <c r="F103" s="453"/>
      <c r="G103" s="453"/>
      <c r="H103" s="453"/>
      <c r="I103" s="453"/>
      <c r="J103" s="453"/>
      <c r="K103" s="453"/>
      <c r="L103" s="453"/>
      <c r="M103" s="453"/>
      <c r="N103" s="453"/>
      <c r="O103" s="453"/>
      <c r="P103" s="453"/>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3"/>
      <c r="AY103" s="453"/>
      <c r="AZ103" s="453"/>
      <c r="BA103" s="453"/>
      <c r="BB103" s="453"/>
      <c r="BC103" s="453"/>
      <c r="BD103" s="453"/>
      <c r="BE103" s="453"/>
      <c r="BF103" s="453"/>
      <c r="BG103" s="453"/>
      <c r="BH103" s="453"/>
      <c r="BI103" s="453"/>
      <c r="BJ103" s="453"/>
      <c r="BK103" s="453"/>
      <c r="BL103" s="453"/>
      <c r="BM103" s="453"/>
      <c r="BN103" s="453"/>
      <c r="BO103" s="453"/>
      <c r="BP103" s="453"/>
      <c r="BQ103" s="453"/>
      <c r="BR103" s="453"/>
      <c r="BS103" s="453"/>
      <c r="BT103" s="453"/>
      <c r="BU103" s="453"/>
      <c r="BV103" s="453"/>
      <c r="BW103" s="453"/>
      <c r="BX103" s="453"/>
    </row>
    <row r="104" spans="1:76" ht="79.5" customHeight="1">
      <c r="A104" s="320" t="s">
        <v>265</v>
      </c>
      <c r="B104" s="321"/>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c r="BF104" s="321"/>
      <c r="BG104" s="321"/>
      <c r="BH104" s="321"/>
      <c r="BI104" s="321"/>
      <c r="BJ104" s="321"/>
      <c r="BK104" s="321"/>
      <c r="BL104" s="321"/>
      <c r="BM104" s="321"/>
      <c r="BN104" s="321"/>
      <c r="BO104" s="321"/>
      <c r="BP104" s="321"/>
      <c r="BQ104" s="321"/>
      <c r="BR104" s="321"/>
      <c r="BS104" s="321"/>
      <c r="BT104" s="321"/>
      <c r="BU104" s="321"/>
      <c r="BV104" s="321"/>
      <c r="BW104" s="321"/>
      <c r="BX104" s="321"/>
    </row>
    <row r="105" spans="1:76" ht="35.25" customHeight="1">
      <c r="A105" s="322" t="s">
        <v>213</v>
      </c>
      <c r="B105" s="323"/>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M105" s="323"/>
      <c r="BN105" s="323"/>
      <c r="BO105" s="323"/>
      <c r="BP105" s="323"/>
      <c r="BQ105" s="323"/>
      <c r="BR105" s="323"/>
      <c r="BS105" s="323"/>
      <c r="BT105" s="323"/>
      <c r="BU105" s="323"/>
      <c r="BV105" s="323"/>
      <c r="BW105" s="323"/>
      <c r="BX105" s="323"/>
    </row>
    <row r="106" spans="1:76" ht="23.25" customHeight="1">
      <c r="A106" s="322" t="s">
        <v>214</v>
      </c>
      <c r="B106" s="323"/>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23"/>
      <c r="BR106" s="323"/>
      <c r="BS106" s="323"/>
      <c r="BT106" s="323"/>
      <c r="BU106" s="323"/>
      <c r="BV106" s="323"/>
      <c r="BW106" s="323"/>
      <c r="BX106" s="323"/>
    </row>
    <row r="107" spans="1:76" ht="33.75" customHeight="1">
      <c r="A107" s="318" t="s">
        <v>215</v>
      </c>
      <c r="B107" s="319"/>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19"/>
      <c r="AZ107" s="319"/>
      <c r="BA107" s="319"/>
      <c r="BB107" s="319"/>
      <c r="BC107" s="319"/>
      <c r="BD107" s="319"/>
      <c r="BE107" s="319"/>
      <c r="BF107" s="319"/>
      <c r="BG107" s="319"/>
      <c r="BH107" s="319"/>
      <c r="BI107" s="319"/>
      <c r="BJ107" s="319"/>
      <c r="BK107" s="319"/>
      <c r="BL107" s="319"/>
      <c r="BM107" s="319"/>
      <c r="BN107" s="319"/>
      <c r="BO107" s="319"/>
      <c r="BP107" s="319"/>
      <c r="BQ107" s="319"/>
      <c r="BR107" s="319"/>
      <c r="BS107" s="319"/>
      <c r="BT107" s="319"/>
      <c r="BU107" s="319"/>
      <c r="BV107" s="319"/>
      <c r="BW107" s="319"/>
      <c r="BX107" s="319"/>
    </row>
    <row r="108" spans="1:76" ht="23.25" customHeight="1">
      <c r="A108" s="318" t="s">
        <v>267</v>
      </c>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19"/>
      <c r="AZ108" s="319"/>
      <c r="BA108" s="319"/>
      <c r="BB108" s="319"/>
      <c r="BC108" s="319"/>
      <c r="BD108" s="319"/>
      <c r="BE108" s="319"/>
      <c r="BF108" s="319"/>
      <c r="BG108" s="319"/>
      <c r="BH108" s="319"/>
      <c r="BI108" s="319"/>
      <c r="BJ108" s="319"/>
      <c r="BK108" s="319"/>
      <c r="BL108" s="319"/>
      <c r="BM108" s="319"/>
      <c r="BN108" s="319"/>
      <c r="BO108" s="319"/>
      <c r="BP108" s="319"/>
      <c r="BQ108" s="319"/>
      <c r="BR108" s="319"/>
      <c r="BS108" s="319"/>
      <c r="BT108" s="319"/>
      <c r="BU108" s="319"/>
      <c r="BV108" s="319"/>
      <c r="BW108" s="319"/>
      <c r="BX108" s="319"/>
    </row>
    <row r="109" spans="1:76" ht="12.75">
      <c r="A109" s="325" t="s">
        <v>216</v>
      </c>
      <c r="B109" s="326"/>
      <c r="C109" s="326"/>
      <c r="D109" s="326"/>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6"/>
      <c r="AZ109" s="326"/>
      <c r="BA109" s="326"/>
      <c r="BB109" s="326"/>
      <c r="BC109" s="326"/>
      <c r="BD109" s="326"/>
      <c r="BE109" s="326"/>
      <c r="BF109" s="326"/>
      <c r="BG109" s="326"/>
      <c r="BH109" s="326"/>
      <c r="BI109" s="326"/>
      <c r="BJ109" s="326"/>
      <c r="BK109" s="326"/>
      <c r="BL109" s="326"/>
      <c r="BM109" s="326"/>
      <c r="BN109" s="326"/>
      <c r="BO109" s="326"/>
      <c r="BP109" s="326"/>
      <c r="BQ109" s="326"/>
      <c r="BR109" s="326"/>
      <c r="BS109" s="326"/>
      <c r="BT109" s="326"/>
      <c r="BU109" s="326"/>
      <c r="BV109" s="326"/>
      <c r="BW109" s="326"/>
      <c r="BX109" s="326"/>
    </row>
    <row r="110" spans="1:76" ht="35.25" customHeight="1">
      <c r="A110" s="318" t="s">
        <v>217</v>
      </c>
      <c r="B110" s="319"/>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c r="AP110" s="319"/>
      <c r="AQ110" s="319"/>
      <c r="AR110" s="319"/>
      <c r="AS110" s="319"/>
      <c r="AT110" s="319"/>
      <c r="AU110" s="319"/>
      <c r="AV110" s="319"/>
      <c r="AW110" s="319"/>
      <c r="AX110" s="319"/>
      <c r="AY110" s="319"/>
      <c r="AZ110" s="319"/>
      <c r="BA110" s="319"/>
      <c r="BB110" s="319"/>
      <c r="BC110" s="319"/>
      <c r="BD110" s="319"/>
      <c r="BE110" s="319"/>
      <c r="BF110" s="319"/>
      <c r="BG110" s="319"/>
      <c r="BH110" s="319"/>
      <c r="BI110" s="319"/>
      <c r="BJ110" s="319"/>
      <c r="BK110" s="319"/>
      <c r="BL110" s="319"/>
      <c r="BM110" s="319"/>
      <c r="BN110" s="319"/>
      <c r="BO110" s="319"/>
      <c r="BP110" s="319"/>
      <c r="BQ110" s="319"/>
      <c r="BR110" s="319"/>
      <c r="BS110" s="319"/>
      <c r="BT110" s="319"/>
      <c r="BU110" s="319"/>
      <c r="BV110" s="319"/>
      <c r="BW110" s="319"/>
      <c r="BX110" s="319"/>
    </row>
    <row r="111" ht="7.5" customHeight="1"/>
    <row r="113" spans="1:76"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row>
    <row r="114" spans="1:76"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row>
    <row r="115" spans="1:76"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row>
    <row r="116" spans="1:76"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row>
    <row r="117" spans="1:76"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row>
    <row r="118" spans="1:76"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row>
    <row r="119" spans="1:76"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row>
    <row r="120" spans="1:76"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row>
    <row r="121" spans="1:76"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row>
    <row r="122" spans="1:76"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row>
    <row r="123" spans="1:76"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row>
  </sheetData>
  <sheetProtection/>
  <mergeCells count="659">
    <mergeCell ref="A102:BX102"/>
    <mergeCell ref="A103:BX103"/>
    <mergeCell ref="A100:AE100"/>
    <mergeCell ref="AF100:AI100"/>
    <mergeCell ref="AJ100:AQ100"/>
    <mergeCell ref="AR100:AV100"/>
    <mergeCell ref="AW100:BC100"/>
    <mergeCell ref="BD100:BJ100"/>
    <mergeCell ref="BK100:BQ100"/>
    <mergeCell ref="BR100:BX100"/>
    <mergeCell ref="BD98:BJ98"/>
    <mergeCell ref="BK98:BQ98"/>
    <mergeCell ref="BR98:BX98"/>
    <mergeCell ref="A105:BX105"/>
    <mergeCell ref="AW99:BC99"/>
    <mergeCell ref="BD99:BJ99"/>
    <mergeCell ref="BK99:BQ99"/>
    <mergeCell ref="BR99:BX99"/>
    <mergeCell ref="A99:AE99"/>
    <mergeCell ref="AJ99:AQ99"/>
    <mergeCell ref="AW97:BC97"/>
    <mergeCell ref="AW98:BC98"/>
    <mergeCell ref="A98:AE98"/>
    <mergeCell ref="AF99:AI99"/>
    <mergeCell ref="AJ98:AQ98"/>
    <mergeCell ref="AR98:AV98"/>
    <mergeCell ref="AR99:AV99"/>
    <mergeCell ref="AF98:AI98"/>
    <mergeCell ref="BR96:BX96"/>
    <mergeCell ref="A97:AE97"/>
    <mergeCell ref="BD97:BJ97"/>
    <mergeCell ref="BK97:BQ97"/>
    <mergeCell ref="BR97:BX97"/>
    <mergeCell ref="A96:AE96"/>
    <mergeCell ref="AF97:AI97"/>
    <mergeCell ref="AJ96:AQ96"/>
    <mergeCell ref="AJ97:AQ97"/>
    <mergeCell ref="AR97:AV97"/>
    <mergeCell ref="AR96:AV96"/>
    <mergeCell ref="AF96:AI96"/>
    <mergeCell ref="AJ95:AQ95"/>
    <mergeCell ref="AR95:AV95"/>
    <mergeCell ref="AW95:BC95"/>
    <mergeCell ref="AW96:BC96"/>
    <mergeCell ref="AF95:AI95"/>
    <mergeCell ref="BD94:BJ94"/>
    <mergeCell ref="BK94:BQ94"/>
    <mergeCell ref="BD96:BJ96"/>
    <mergeCell ref="BK96:BQ96"/>
    <mergeCell ref="BR94:BX94"/>
    <mergeCell ref="A95:AE95"/>
    <mergeCell ref="BD95:BJ95"/>
    <mergeCell ref="BK95:BQ95"/>
    <mergeCell ref="BR95:BX95"/>
    <mergeCell ref="A94:AE94"/>
    <mergeCell ref="AJ94:AQ94"/>
    <mergeCell ref="AR94:AV94"/>
    <mergeCell ref="AF94:AI94"/>
    <mergeCell ref="AJ93:AQ93"/>
    <mergeCell ref="AR93:AV93"/>
    <mergeCell ref="AW93:BC93"/>
    <mergeCell ref="AW94:BC94"/>
    <mergeCell ref="BD92:BJ92"/>
    <mergeCell ref="BK92:BQ92"/>
    <mergeCell ref="BR92:BX92"/>
    <mergeCell ref="A93:AE93"/>
    <mergeCell ref="BD93:BJ93"/>
    <mergeCell ref="BK93:BQ93"/>
    <mergeCell ref="BR93:BX93"/>
    <mergeCell ref="A92:AE92"/>
    <mergeCell ref="AF93:AI93"/>
    <mergeCell ref="AJ92:AQ92"/>
    <mergeCell ref="AW92:BC92"/>
    <mergeCell ref="AR92:AV92"/>
    <mergeCell ref="AF92:AI92"/>
    <mergeCell ref="AJ91:AQ91"/>
    <mergeCell ref="AR91:AV91"/>
    <mergeCell ref="A91:AE91"/>
    <mergeCell ref="BD91:BJ91"/>
    <mergeCell ref="BK91:BQ91"/>
    <mergeCell ref="BD89:BJ89"/>
    <mergeCell ref="BK89:BQ89"/>
    <mergeCell ref="AR90:AV90"/>
    <mergeCell ref="A89:AE89"/>
    <mergeCell ref="A90:AE90"/>
    <mergeCell ref="AW89:BC89"/>
    <mergeCell ref="AJ89:AQ89"/>
    <mergeCell ref="AR89:AV89"/>
    <mergeCell ref="BR91:BX91"/>
    <mergeCell ref="AF91:AI91"/>
    <mergeCell ref="AW91:BC91"/>
    <mergeCell ref="BR89:BX89"/>
    <mergeCell ref="AF90:AI90"/>
    <mergeCell ref="AJ90:AQ90"/>
    <mergeCell ref="AF89:AI89"/>
    <mergeCell ref="AW90:BC90"/>
    <mergeCell ref="BD90:BJ90"/>
    <mergeCell ref="BK90:BQ90"/>
    <mergeCell ref="A87:AE87"/>
    <mergeCell ref="AF88:AI88"/>
    <mergeCell ref="AJ87:AQ87"/>
    <mergeCell ref="AJ88:AQ88"/>
    <mergeCell ref="A88:AE88"/>
    <mergeCell ref="BD88:BJ88"/>
    <mergeCell ref="AF87:AI87"/>
    <mergeCell ref="BK88:BQ88"/>
    <mergeCell ref="BR88:BX88"/>
    <mergeCell ref="AR88:AV88"/>
    <mergeCell ref="AW88:BC88"/>
    <mergeCell ref="BR87:BX87"/>
    <mergeCell ref="AR87:AV87"/>
    <mergeCell ref="AW87:BC87"/>
    <mergeCell ref="BD87:BJ87"/>
    <mergeCell ref="BK87:BQ87"/>
    <mergeCell ref="A86:AE86"/>
    <mergeCell ref="AR85:AV85"/>
    <mergeCell ref="AW85:BC85"/>
    <mergeCell ref="AR86:AV86"/>
    <mergeCell ref="AF86:AI86"/>
    <mergeCell ref="AJ86:AQ86"/>
    <mergeCell ref="AW86:BC86"/>
    <mergeCell ref="BR86:BX86"/>
    <mergeCell ref="BR85:BX85"/>
    <mergeCell ref="BK86:BQ86"/>
    <mergeCell ref="BD85:BJ85"/>
    <mergeCell ref="BK85:BQ85"/>
    <mergeCell ref="BD86:BJ86"/>
    <mergeCell ref="AR84:AV84"/>
    <mergeCell ref="AR83:AV83"/>
    <mergeCell ref="AW84:BC84"/>
    <mergeCell ref="BD83:BJ83"/>
    <mergeCell ref="A84:AE84"/>
    <mergeCell ref="AF85:AI85"/>
    <mergeCell ref="AJ84:AQ84"/>
    <mergeCell ref="AJ85:AQ85"/>
    <mergeCell ref="A85:AE85"/>
    <mergeCell ref="AF84:AI84"/>
    <mergeCell ref="AR78:AV78"/>
    <mergeCell ref="BD84:BJ84"/>
    <mergeCell ref="AW78:BC78"/>
    <mergeCell ref="BK78:BQ78"/>
    <mergeCell ref="AJ78:AQ78"/>
    <mergeCell ref="BD78:BJ78"/>
    <mergeCell ref="BK82:BQ82"/>
    <mergeCell ref="AW81:BC81"/>
    <mergeCell ref="BD81:BJ81"/>
    <mergeCell ref="BK81:BQ81"/>
    <mergeCell ref="BR84:BX84"/>
    <mergeCell ref="BR83:BX83"/>
    <mergeCell ref="BR78:BX78"/>
    <mergeCell ref="BD79:BJ79"/>
    <mergeCell ref="BK79:BQ79"/>
    <mergeCell ref="BD80:BJ80"/>
    <mergeCell ref="BK83:BQ83"/>
    <mergeCell ref="BR81:BX81"/>
    <mergeCell ref="BK80:BQ80"/>
    <mergeCell ref="BK84:BQ84"/>
    <mergeCell ref="BR76:BX76"/>
    <mergeCell ref="AR76:AV76"/>
    <mergeCell ref="AJ76:AQ76"/>
    <mergeCell ref="AJ77:AQ77"/>
    <mergeCell ref="AR77:AV77"/>
    <mergeCell ref="AW77:BC77"/>
    <mergeCell ref="AW76:BC76"/>
    <mergeCell ref="BK77:BQ77"/>
    <mergeCell ref="BD77:BJ77"/>
    <mergeCell ref="A76:AE76"/>
    <mergeCell ref="AF77:AI77"/>
    <mergeCell ref="A82:AE82"/>
    <mergeCell ref="AF82:AI82"/>
    <mergeCell ref="A81:AE81"/>
    <mergeCell ref="A77:AE77"/>
    <mergeCell ref="AF76:AI76"/>
    <mergeCell ref="AF81:AI81"/>
    <mergeCell ref="A78:AE78"/>
    <mergeCell ref="AF78:AI78"/>
    <mergeCell ref="BD75:BJ75"/>
    <mergeCell ref="BK76:BQ76"/>
    <mergeCell ref="BD76:BJ76"/>
    <mergeCell ref="BD74:BJ74"/>
    <mergeCell ref="BK74:BQ74"/>
    <mergeCell ref="BK75:BQ75"/>
    <mergeCell ref="BR75:BX75"/>
    <mergeCell ref="BR74:BX74"/>
    <mergeCell ref="A74:AE74"/>
    <mergeCell ref="AF75:AI75"/>
    <mergeCell ref="AJ74:AQ74"/>
    <mergeCell ref="AW75:BC75"/>
    <mergeCell ref="A75:AE75"/>
    <mergeCell ref="AF74:AI74"/>
    <mergeCell ref="AJ75:AQ75"/>
    <mergeCell ref="AR75:AV75"/>
    <mergeCell ref="AR74:AV74"/>
    <mergeCell ref="AW74:BC74"/>
    <mergeCell ref="A72:AE72"/>
    <mergeCell ref="AF73:AI73"/>
    <mergeCell ref="AJ72:AQ72"/>
    <mergeCell ref="AJ73:AQ73"/>
    <mergeCell ref="A73:AE73"/>
    <mergeCell ref="AF72:AI72"/>
    <mergeCell ref="BD73:BJ73"/>
    <mergeCell ref="BK73:BQ73"/>
    <mergeCell ref="BR73:BX73"/>
    <mergeCell ref="AR73:AV73"/>
    <mergeCell ref="AW73:BC73"/>
    <mergeCell ref="BD72:BJ72"/>
    <mergeCell ref="BK72:BQ72"/>
    <mergeCell ref="AW72:BC72"/>
    <mergeCell ref="AR72:AV72"/>
    <mergeCell ref="AJ71:AQ71"/>
    <mergeCell ref="AR71:AV71"/>
    <mergeCell ref="AR70:AV70"/>
    <mergeCell ref="BR70:BX70"/>
    <mergeCell ref="A71:AE71"/>
    <mergeCell ref="BD71:BJ71"/>
    <mergeCell ref="BK71:BQ71"/>
    <mergeCell ref="BR71:BX71"/>
    <mergeCell ref="A70:AE70"/>
    <mergeCell ref="AF71:AI71"/>
    <mergeCell ref="AJ70:AQ70"/>
    <mergeCell ref="AF70:AI70"/>
    <mergeCell ref="AW71:BC71"/>
    <mergeCell ref="A69:AE69"/>
    <mergeCell ref="BD69:BJ69"/>
    <mergeCell ref="BK69:BQ69"/>
    <mergeCell ref="AF69:AI69"/>
    <mergeCell ref="AW69:BC69"/>
    <mergeCell ref="AJ69:AQ69"/>
    <mergeCell ref="AR69:AV69"/>
    <mergeCell ref="AF68:AI68"/>
    <mergeCell ref="A68:AE68"/>
    <mergeCell ref="AJ68:AQ68"/>
    <mergeCell ref="AR68:AV68"/>
    <mergeCell ref="A67:AE67"/>
    <mergeCell ref="AF67:AI67"/>
    <mergeCell ref="AJ67:AQ67"/>
    <mergeCell ref="A66:AE66"/>
    <mergeCell ref="AF66:AI66"/>
    <mergeCell ref="AJ66:AQ66"/>
    <mergeCell ref="AR66:AV66"/>
    <mergeCell ref="A65:AE65"/>
    <mergeCell ref="AF65:AI65"/>
    <mergeCell ref="AJ65:AQ65"/>
    <mergeCell ref="AR65:AV65"/>
    <mergeCell ref="BD65:BJ65"/>
    <mergeCell ref="AW66:BC66"/>
    <mergeCell ref="BD66:BJ66"/>
    <mergeCell ref="BK66:BQ66"/>
    <mergeCell ref="BR77:BX77"/>
    <mergeCell ref="AR67:AV67"/>
    <mergeCell ref="AW67:BC67"/>
    <mergeCell ref="BD67:BJ67"/>
    <mergeCell ref="BD68:BJ68"/>
    <mergeCell ref="BD70:BJ70"/>
    <mergeCell ref="AJ64:AQ64"/>
    <mergeCell ref="AR64:AV64"/>
    <mergeCell ref="AW64:BC64"/>
    <mergeCell ref="BR64:BX64"/>
    <mergeCell ref="BD64:BJ64"/>
    <mergeCell ref="AW68:BC68"/>
    <mergeCell ref="BK64:BQ64"/>
    <mergeCell ref="BK67:BQ67"/>
    <mergeCell ref="BR67:BX67"/>
    <mergeCell ref="AW65:BC65"/>
    <mergeCell ref="BK63:BQ63"/>
    <mergeCell ref="BR63:BX63"/>
    <mergeCell ref="BK65:BQ65"/>
    <mergeCell ref="BK70:BQ70"/>
    <mergeCell ref="BR72:BX72"/>
    <mergeCell ref="BK68:BQ68"/>
    <mergeCell ref="BR68:BX68"/>
    <mergeCell ref="BR65:BX65"/>
    <mergeCell ref="BR66:BX66"/>
    <mergeCell ref="BR69:BX69"/>
    <mergeCell ref="BK62:BQ62"/>
    <mergeCell ref="BR62:BX62"/>
    <mergeCell ref="AR60:AV60"/>
    <mergeCell ref="A63:AE63"/>
    <mergeCell ref="AF63:AI63"/>
    <mergeCell ref="AJ63:AQ63"/>
    <mergeCell ref="AR63:AV63"/>
    <mergeCell ref="A62:AE62"/>
    <mergeCell ref="AF62:AI62"/>
    <mergeCell ref="AJ62:AQ62"/>
    <mergeCell ref="BD60:BJ60"/>
    <mergeCell ref="BK60:BQ60"/>
    <mergeCell ref="BR58:BX58"/>
    <mergeCell ref="AW59:BC59"/>
    <mergeCell ref="BD59:BJ59"/>
    <mergeCell ref="BK59:BQ59"/>
    <mergeCell ref="BR59:BX59"/>
    <mergeCell ref="BK58:BQ58"/>
    <mergeCell ref="BR60:BX60"/>
    <mergeCell ref="AF58:AI58"/>
    <mergeCell ref="A58:AE58"/>
    <mergeCell ref="AW60:BC60"/>
    <mergeCell ref="AJ60:AQ60"/>
    <mergeCell ref="A59:AE59"/>
    <mergeCell ref="AF59:AI59"/>
    <mergeCell ref="AJ59:AQ59"/>
    <mergeCell ref="A60:AE60"/>
    <mergeCell ref="AF60:AI60"/>
    <mergeCell ref="BD56:BJ56"/>
    <mergeCell ref="AJ57:AQ57"/>
    <mergeCell ref="AR57:AV57"/>
    <mergeCell ref="AW57:BC57"/>
    <mergeCell ref="BD58:BJ58"/>
    <mergeCell ref="AJ58:AQ58"/>
    <mergeCell ref="BD57:BJ57"/>
    <mergeCell ref="AR56:AV56"/>
    <mergeCell ref="AR58:AV58"/>
    <mergeCell ref="AW58:BC58"/>
    <mergeCell ref="BK57:BQ57"/>
    <mergeCell ref="BR57:BX57"/>
    <mergeCell ref="BR51:BX51"/>
    <mergeCell ref="BK45:BQ45"/>
    <mergeCell ref="BR45:BX45"/>
    <mergeCell ref="BK54:BQ54"/>
    <mergeCell ref="BR54:BX54"/>
    <mergeCell ref="BR52:BX52"/>
    <mergeCell ref="BK53:BQ53"/>
    <mergeCell ref="BR53:BX53"/>
    <mergeCell ref="BR35:BX36"/>
    <mergeCell ref="BR33:BX33"/>
    <mergeCell ref="BR37:BX37"/>
    <mergeCell ref="BK52:BQ52"/>
    <mergeCell ref="BK56:BQ56"/>
    <mergeCell ref="BR56:BX56"/>
    <mergeCell ref="BK51:BQ51"/>
    <mergeCell ref="BR38:BX39"/>
    <mergeCell ref="BR41:BX41"/>
    <mergeCell ref="BR34:BX34"/>
    <mergeCell ref="BK40:BQ40"/>
    <mergeCell ref="BD41:BJ41"/>
    <mergeCell ref="BK41:BQ41"/>
    <mergeCell ref="AW34:BC34"/>
    <mergeCell ref="BD34:BJ34"/>
    <mergeCell ref="BK34:BQ34"/>
    <mergeCell ref="AW35:BC36"/>
    <mergeCell ref="BD35:BJ36"/>
    <mergeCell ref="BK35:BQ36"/>
    <mergeCell ref="BK37:BQ37"/>
    <mergeCell ref="BC1:BX1"/>
    <mergeCell ref="BC2:BX2"/>
    <mergeCell ref="BQ8:BR8"/>
    <mergeCell ref="BM6:BW6"/>
    <mergeCell ref="BM7:BW7"/>
    <mergeCell ref="BO8:BP8"/>
    <mergeCell ref="BC3:BX3"/>
    <mergeCell ref="BC4:BX4"/>
    <mergeCell ref="BC5:BX5"/>
    <mergeCell ref="BD6:BK6"/>
    <mergeCell ref="BD7:BK7"/>
    <mergeCell ref="AQ11:AR11"/>
    <mergeCell ref="AV11:AW11"/>
    <mergeCell ref="BD8:BE8"/>
    <mergeCell ref="BG8:BN8"/>
    <mergeCell ref="BQ17:BX17"/>
    <mergeCell ref="AX11:BB11"/>
    <mergeCell ref="BQ10:BX11"/>
    <mergeCell ref="BQ12:BX12"/>
    <mergeCell ref="BF12:BP12"/>
    <mergeCell ref="AY10:AZ10"/>
    <mergeCell ref="A10:AX10"/>
    <mergeCell ref="X11:AA11"/>
    <mergeCell ref="AB11:AC11"/>
    <mergeCell ref="BQ13:BX13"/>
    <mergeCell ref="BQ18:BX18"/>
    <mergeCell ref="BF13:BP13"/>
    <mergeCell ref="BF14:BP14"/>
    <mergeCell ref="BF15:BP15"/>
    <mergeCell ref="BF16:BP16"/>
    <mergeCell ref="BF17:BP17"/>
    <mergeCell ref="BF18:BP18"/>
    <mergeCell ref="BQ14:BX14"/>
    <mergeCell ref="BQ15:BX15"/>
    <mergeCell ref="BQ16:BX16"/>
    <mergeCell ref="AT12:AU12"/>
    <mergeCell ref="AV12:AW12"/>
    <mergeCell ref="N14:BE14"/>
    <mergeCell ref="H17:BE17"/>
    <mergeCell ref="AG12:AH12"/>
    <mergeCell ref="A23:AE23"/>
    <mergeCell ref="BD23:BJ23"/>
    <mergeCell ref="AZ21:BA21"/>
    <mergeCell ref="BB21:BC21"/>
    <mergeCell ref="AF20:AI22"/>
    <mergeCell ref="AW22:BC22"/>
    <mergeCell ref="A20:AE22"/>
    <mergeCell ref="BK23:BQ23"/>
    <mergeCell ref="BR23:BX23"/>
    <mergeCell ref="BK22:BQ22"/>
    <mergeCell ref="AF23:AI23"/>
    <mergeCell ref="AJ23:AQ23"/>
    <mergeCell ref="AR23:AV23"/>
    <mergeCell ref="AW23:BC23"/>
    <mergeCell ref="AJ20:AQ22"/>
    <mergeCell ref="BP21:BQ21"/>
    <mergeCell ref="AW21:AY21"/>
    <mergeCell ref="AJ12:AQ12"/>
    <mergeCell ref="AR12:AS12"/>
    <mergeCell ref="AR20:AV22"/>
    <mergeCell ref="AW20:BX20"/>
    <mergeCell ref="BR21:BX22"/>
    <mergeCell ref="A19:BX19"/>
    <mergeCell ref="BD21:BF21"/>
    <mergeCell ref="BG21:BH21"/>
    <mergeCell ref="BI21:BJ21"/>
    <mergeCell ref="BD22:BJ22"/>
    <mergeCell ref="BK21:BM21"/>
    <mergeCell ref="BN21:BO21"/>
    <mergeCell ref="A27:AE27"/>
    <mergeCell ref="A28:AE28"/>
    <mergeCell ref="AF24:AI24"/>
    <mergeCell ref="AF25:AI25"/>
    <mergeCell ref="AF26:AI26"/>
    <mergeCell ref="AF27:AI27"/>
    <mergeCell ref="AJ24:AQ24"/>
    <mergeCell ref="AJ25:AQ25"/>
    <mergeCell ref="AJ26:AQ26"/>
    <mergeCell ref="AJ27:AQ27"/>
    <mergeCell ref="AR24:AV24"/>
    <mergeCell ref="AR25:AV25"/>
    <mergeCell ref="AR26:AV26"/>
    <mergeCell ref="A26:AE26"/>
    <mergeCell ref="A24:AE24"/>
    <mergeCell ref="A25:AE25"/>
    <mergeCell ref="AR27:AV27"/>
    <mergeCell ref="AW24:BC24"/>
    <mergeCell ref="AW25:BC25"/>
    <mergeCell ref="AW26:BC26"/>
    <mergeCell ref="AW27:BC27"/>
    <mergeCell ref="BD24:BJ24"/>
    <mergeCell ref="BD27:BJ27"/>
    <mergeCell ref="BK24:BQ24"/>
    <mergeCell ref="BR24:BX24"/>
    <mergeCell ref="BD25:BJ25"/>
    <mergeCell ref="BK25:BQ25"/>
    <mergeCell ref="BR25:BX25"/>
    <mergeCell ref="BD26:BJ26"/>
    <mergeCell ref="BK26:BQ26"/>
    <mergeCell ref="BR26:BX26"/>
    <mergeCell ref="BK27:BQ27"/>
    <mergeCell ref="BR27:BX27"/>
    <mergeCell ref="BD30:BJ30"/>
    <mergeCell ref="BK30:BQ30"/>
    <mergeCell ref="BR30:BX30"/>
    <mergeCell ref="BD28:BJ29"/>
    <mergeCell ref="BK28:BQ29"/>
    <mergeCell ref="BR28:BX29"/>
    <mergeCell ref="A30:AE30"/>
    <mergeCell ref="AJ30:AQ30"/>
    <mergeCell ref="AW30:BC30"/>
    <mergeCell ref="BD31:BJ31"/>
    <mergeCell ref="AF30:AI30"/>
    <mergeCell ref="AR30:AV30"/>
    <mergeCell ref="BK31:BQ31"/>
    <mergeCell ref="BR31:BX31"/>
    <mergeCell ref="A31:AE31"/>
    <mergeCell ref="AF31:AI31"/>
    <mergeCell ref="AJ31:AQ31"/>
    <mergeCell ref="AR31:AV31"/>
    <mergeCell ref="AW31:BC31"/>
    <mergeCell ref="AW33:BC33"/>
    <mergeCell ref="BD33:BJ33"/>
    <mergeCell ref="BD32:BJ32"/>
    <mergeCell ref="BK32:BQ32"/>
    <mergeCell ref="BK33:BQ33"/>
    <mergeCell ref="BR32:BX32"/>
    <mergeCell ref="A32:AE32"/>
    <mergeCell ref="AF32:AI32"/>
    <mergeCell ref="AJ32:AQ32"/>
    <mergeCell ref="AR32:AV32"/>
    <mergeCell ref="AW32:BC32"/>
    <mergeCell ref="A34:AE34"/>
    <mergeCell ref="A33:AE33"/>
    <mergeCell ref="AF33:AI33"/>
    <mergeCell ref="AJ33:AQ33"/>
    <mergeCell ref="AR33:AV33"/>
    <mergeCell ref="A37:AE37"/>
    <mergeCell ref="AF37:AI37"/>
    <mergeCell ref="AJ37:AQ37"/>
    <mergeCell ref="A38:AE38"/>
    <mergeCell ref="AF38:AI39"/>
    <mergeCell ref="A36:AE36"/>
    <mergeCell ref="AJ35:AQ36"/>
    <mergeCell ref="A35:AE35"/>
    <mergeCell ref="AW61:BC61"/>
    <mergeCell ref="AR45:AV45"/>
    <mergeCell ref="AW45:BC45"/>
    <mergeCell ref="AW49:BC49"/>
    <mergeCell ref="AW56:BC56"/>
    <mergeCell ref="AR59:AV59"/>
    <mergeCell ref="AW54:BC54"/>
    <mergeCell ref="AR55:AV55"/>
    <mergeCell ref="AW55:BC55"/>
    <mergeCell ref="AR53:AV53"/>
    <mergeCell ref="AW70:BC70"/>
    <mergeCell ref="AJ45:AQ45"/>
    <mergeCell ref="AF53:AI53"/>
    <mergeCell ref="A54:AE54"/>
    <mergeCell ref="AJ41:AQ41"/>
    <mergeCell ref="AR34:AV34"/>
    <mergeCell ref="AJ38:AQ39"/>
    <mergeCell ref="AF34:AI34"/>
    <mergeCell ref="AJ34:AQ34"/>
    <mergeCell ref="A48:AE48"/>
    <mergeCell ref="AJ56:AQ56"/>
    <mergeCell ref="A55:AE55"/>
    <mergeCell ref="AF55:AI55"/>
    <mergeCell ref="AJ55:AQ55"/>
    <mergeCell ref="A40:AE40"/>
    <mergeCell ref="A43:AE43"/>
    <mergeCell ref="AF43:AI44"/>
    <mergeCell ref="AJ43:AQ44"/>
    <mergeCell ref="AF41:AI41"/>
    <mergeCell ref="AJ53:AQ53"/>
    <mergeCell ref="AR40:AV40"/>
    <mergeCell ref="AF40:AI40"/>
    <mergeCell ref="A41:AE41"/>
    <mergeCell ref="A45:AE45"/>
    <mergeCell ref="AR41:AV41"/>
    <mergeCell ref="A44:AE44"/>
    <mergeCell ref="AF45:AI45"/>
    <mergeCell ref="AR42:AV42"/>
    <mergeCell ref="BR79:BX79"/>
    <mergeCell ref="BK38:BQ39"/>
    <mergeCell ref="BR40:BX40"/>
    <mergeCell ref="AR38:AV39"/>
    <mergeCell ref="AF79:AI79"/>
    <mergeCell ref="AJ79:AQ79"/>
    <mergeCell ref="AR79:AV79"/>
    <mergeCell ref="AW79:BC79"/>
    <mergeCell ref="BD38:BJ39"/>
    <mergeCell ref="AF57:AI57"/>
    <mergeCell ref="AW41:BC41"/>
    <mergeCell ref="BD40:BJ40"/>
    <mergeCell ref="BD48:BJ48"/>
    <mergeCell ref="BD49:BJ49"/>
    <mergeCell ref="BD43:BJ44"/>
    <mergeCell ref="BD54:BJ54"/>
    <mergeCell ref="BD53:BJ53"/>
    <mergeCell ref="AW53:BC53"/>
    <mergeCell ref="BD51:BJ51"/>
    <mergeCell ref="AW43:BC44"/>
    <mergeCell ref="BK49:BQ49"/>
    <mergeCell ref="BD37:BJ37"/>
    <mergeCell ref="AW40:BC40"/>
    <mergeCell ref="AR37:AV37"/>
    <mergeCell ref="AJ51:AQ51"/>
    <mergeCell ref="AW37:BC37"/>
    <mergeCell ref="AW38:BC39"/>
    <mergeCell ref="AR43:AV44"/>
    <mergeCell ref="AJ40:AQ40"/>
    <mergeCell ref="AW42:BC42"/>
    <mergeCell ref="A64:AE64"/>
    <mergeCell ref="AF64:AI64"/>
    <mergeCell ref="A56:AE56"/>
    <mergeCell ref="AF56:AI56"/>
    <mergeCell ref="A57:AE57"/>
    <mergeCell ref="BK50:BQ50"/>
    <mergeCell ref="A53:AE53"/>
    <mergeCell ref="AF54:AI54"/>
    <mergeCell ref="AJ54:AQ54"/>
    <mergeCell ref="AR54:AV54"/>
    <mergeCell ref="A49:AE49"/>
    <mergeCell ref="AJ49:AQ49"/>
    <mergeCell ref="AR49:AV49"/>
    <mergeCell ref="AF49:AI49"/>
    <mergeCell ref="AJ50:AQ50"/>
    <mergeCell ref="AR50:AV50"/>
    <mergeCell ref="A50:AE50"/>
    <mergeCell ref="AF50:AI50"/>
    <mergeCell ref="A52:AE52"/>
    <mergeCell ref="AJ52:AQ52"/>
    <mergeCell ref="AR52:AV52"/>
    <mergeCell ref="AW52:BC52"/>
    <mergeCell ref="AF52:AI52"/>
    <mergeCell ref="AF51:AI51"/>
    <mergeCell ref="AR51:AV51"/>
    <mergeCell ref="AW51:BC51"/>
    <mergeCell ref="A51:AE51"/>
    <mergeCell ref="A109:BX109"/>
    <mergeCell ref="AR82:AV82"/>
    <mergeCell ref="AW82:BC82"/>
    <mergeCell ref="BD82:BJ82"/>
    <mergeCell ref="A61:AE61"/>
    <mergeCell ref="AF61:AI61"/>
    <mergeCell ref="AJ61:AQ61"/>
    <mergeCell ref="BK61:BQ61"/>
    <mergeCell ref="BR61:BX61"/>
    <mergeCell ref="A79:AE79"/>
    <mergeCell ref="AF28:AI29"/>
    <mergeCell ref="AJ28:AQ29"/>
    <mergeCell ref="AR28:AV29"/>
    <mergeCell ref="AW28:BC29"/>
    <mergeCell ref="AF35:AI36"/>
    <mergeCell ref="BD55:BJ55"/>
    <mergeCell ref="BD50:BJ50"/>
    <mergeCell ref="BD45:BJ45"/>
    <mergeCell ref="AW46:BC47"/>
    <mergeCell ref="BD46:BJ47"/>
    <mergeCell ref="A110:BX110"/>
    <mergeCell ref="A104:BX104"/>
    <mergeCell ref="A106:BX106"/>
    <mergeCell ref="A107:BX107"/>
    <mergeCell ref="A108:BX108"/>
    <mergeCell ref="BK55:BQ55"/>
    <mergeCell ref="BR55:BX55"/>
    <mergeCell ref="BD63:BJ63"/>
    <mergeCell ref="AR81:AV81"/>
    <mergeCell ref="BR90:BX90"/>
    <mergeCell ref="AF48:AI48"/>
    <mergeCell ref="AR48:AV48"/>
    <mergeCell ref="AW48:BC48"/>
    <mergeCell ref="AW63:BC63"/>
    <mergeCell ref="BR80:BX80"/>
    <mergeCell ref="AJ81:AQ81"/>
    <mergeCell ref="BR50:BX50"/>
    <mergeCell ref="BD52:BJ52"/>
    <mergeCell ref="BR49:BX49"/>
    <mergeCell ref="AW50:BC50"/>
    <mergeCell ref="AF46:AI47"/>
    <mergeCell ref="AJ46:AQ47"/>
    <mergeCell ref="AR46:AV47"/>
    <mergeCell ref="A46:AE46"/>
    <mergeCell ref="A42:AE42"/>
    <mergeCell ref="AF42:AI42"/>
    <mergeCell ref="AJ42:AQ42"/>
    <mergeCell ref="A29:AE29"/>
    <mergeCell ref="BK48:BQ48"/>
    <mergeCell ref="BR48:BX48"/>
    <mergeCell ref="AJ48:AQ48"/>
    <mergeCell ref="A39:AE39"/>
    <mergeCell ref="BK46:BQ47"/>
    <mergeCell ref="BR46:BX47"/>
    <mergeCell ref="BK42:BQ42"/>
    <mergeCell ref="AR35:AV36"/>
    <mergeCell ref="A47:AE47"/>
    <mergeCell ref="BD42:BJ42"/>
    <mergeCell ref="BR42:BX42"/>
    <mergeCell ref="AJ82:AQ82"/>
    <mergeCell ref="AR61:AV61"/>
    <mergeCell ref="AW62:BC62"/>
    <mergeCell ref="BD62:BJ62"/>
    <mergeCell ref="AR62:AV62"/>
    <mergeCell ref="BD61:BJ61"/>
    <mergeCell ref="BK43:BQ44"/>
    <mergeCell ref="BR43:BX44"/>
    <mergeCell ref="A83:AE83"/>
    <mergeCell ref="AJ83:AQ83"/>
    <mergeCell ref="BR82:BX82"/>
    <mergeCell ref="A80:AE80"/>
    <mergeCell ref="AF80:AI80"/>
    <mergeCell ref="AJ80:AQ80"/>
    <mergeCell ref="AR80:AV80"/>
    <mergeCell ref="AW80:BC80"/>
    <mergeCell ref="AF83:AI83"/>
    <mergeCell ref="AW83:BC83"/>
  </mergeCells>
  <printOptions horizontalCentered="1"/>
  <pageMargins left="0.3937007874015748" right="0.3937007874015748" top="0.3937007874015748" bottom="0.3937007874015748" header="0" footer="0"/>
  <pageSetup fitToHeight="4" fitToWidth="1" horizontalDpi="600" verticalDpi="600" orientation="landscape" paperSize="9" scale="95" r:id="rId1"/>
  <rowBreaks count="3" manualBreakCount="3">
    <brk id="36" max="255" man="1"/>
    <brk id="68" max="255" man="1"/>
    <brk id="99" max="255" man="1"/>
  </rowBreaks>
</worksheet>
</file>

<file path=xl/worksheets/sheet10.xml><?xml version="1.0" encoding="utf-8"?>
<worksheet xmlns="http://schemas.openxmlformats.org/spreadsheetml/2006/main" xmlns:r="http://schemas.openxmlformats.org/officeDocument/2006/relationships">
  <dimension ref="A1:G62"/>
  <sheetViews>
    <sheetView view="pageBreakPreview" zoomScaleSheetLayoutView="100" zoomScalePageLayoutView="0" workbookViewId="0" topLeftCell="A31">
      <selection activeCell="G61" sqref="G61"/>
    </sheetView>
  </sheetViews>
  <sheetFormatPr defaultColWidth="9.33203125" defaultRowHeight="12.75"/>
  <cols>
    <col min="1" max="1" width="9.33203125" style="38" customWidth="1"/>
    <col min="2" max="2" width="44.5" style="38" customWidth="1"/>
    <col min="3" max="3" width="14.5" style="38" customWidth="1"/>
    <col min="4" max="5" width="9.33203125" style="38" customWidth="1"/>
    <col min="6" max="6" width="21.83203125" style="38" customWidth="1"/>
    <col min="7" max="7" width="17.33203125" style="38" customWidth="1"/>
    <col min="8" max="16384" width="9.33203125" style="38" customWidth="1"/>
  </cols>
  <sheetData>
    <row r="1" spans="1:7" ht="32.25" customHeight="1">
      <c r="A1" s="650" t="s">
        <v>422</v>
      </c>
      <c r="B1" s="650"/>
      <c r="C1" s="650"/>
      <c r="D1" s="650"/>
      <c r="E1" s="650"/>
      <c r="F1" s="650"/>
      <c r="G1" s="650"/>
    </row>
    <row r="2" spans="1:6" ht="15">
      <c r="A2" s="110" t="s">
        <v>423</v>
      </c>
      <c r="B2" s="110"/>
      <c r="C2" s="110"/>
      <c r="D2" s="74"/>
      <c r="E2" s="74"/>
      <c r="F2" s="74"/>
    </row>
    <row r="3" spans="1:7" ht="61.5" customHeight="1">
      <c r="A3" s="741" t="s">
        <v>306</v>
      </c>
      <c r="B3" s="741"/>
      <c r="C3" s="741"/>
      <c r="D3" s="741"/>
      <c r="E3" s="741"/>
      <c r="F3" s="741"/>
      <c r="G3" s="741"/>
    </row>
    <row r="4" spans="1:7" ht="14.25">
      <c r="A4" s="649" t="s">
        <v>424</v>
      </c>
      <c r="B4" s="649"/>
      <c r="C4" s="649"/>
      <c r="D4" s="649"/>
      <c r="E4" s="649"/>
      <c r="F4" s="649"/>
      <c r="G4" s="649"/>
    </row>
    <row r="5" spans="1:7" ht="75">
      <c r="A5" s="41" t="s">
        <v>308</v>
      </c>
      <c r="B5" s="672" t="s">
        <v>345</v>
      </c>
      <c r="C5" s="742"/>
      <c r="D5" s="41" t="s">
        <v>425</v>
      </c>
      <c r="E5" s="41" t="s">
        <v>426</v>
      </c>
      <c r="F5" s="41" t="s">
        <v>427</v>
      </c>
      <c r="G5" s="41" t="s">
        <v>428</v>
      </c>
    </row>
    <row r="6" spans="1:7" ht="15">
      <c r="A6" s="43">
        <v>1</v>
      </c>
      <c r="B6" s="674">
        <v>2</v>
      </c>
      <c r="C6" s="743"/>
      <c r="D6" s="43">
        <v>3</v>
      </c>
      <c r="E6" s="43">
        <v>4</v>
      </c>
      <c r="F6" s="43">
        <v>5</v>
      </c>
      <c r="G6" s="43">
        <v>6</v>
      </c>
    </row>
    <row r="7" spans="1:7" ht="28.5" customHeight="1">
      <c r="A7" s="118">
        <v>1</v>
      </c>
      <c r="B7" s="735" t="s">
        <v>429</v>
      </c>
      <c r="C7" s="744"/>
      <c r="D7" s="118">
        <v>2</v>
      </c>
      <c r="E7" s="43">
        <v>12</v>
      </c>
      <c r="F7" s="43">
        <v>900</v>
      </c>
      <c r="G7" s="47">
        <f>D7*E7*F7</f>
        <v>21600</v>
      </c>
    </row>
    <row r="8" spans="1:7" ht="28.5" customHeight="1">
      <c r="A8" s="118">
        <v>2</v>
      </c>
      <c r="B8" s="735" t="s">
        <v>429</v>
      </c>
      <c r="C8" s="744"/>
      <c r="D8" s="118">
        <v>2</v>
      </c>
      <c r="E8" s="43">
        <v>12</v>
      </c>
      <c r="F8" s="43">
        <v>350</v>
      </c>
      <c r="G8" s="47">
        <f>D8*E8*F8</f>
        <v>8400</v>
      </c>
    </row>
    <row r="9" spans="1:7" ht="15">
      <c r="A9" s="118">
        <v>3</v>
      </c>
      <c r="B9" s="735" t="s">
        <v>430</v>
      </c>
      <c r="C9" s="744"/>
      <c r="D9" s="118">
        <v>1</v>
      </c>
      <c r="E9" s="43">
        <v>12</v>
      </c>
      <c r="F9" s="43">
        <v>950</v>
      </c>
      <c r="G9" s="47">
        <f>D9*E9*F9</f>
        <v>11400</v>
      </c>
    </row>
    <row r="10" spans="1:7" ht="15">
      <c r="A10" s="118">
        <v>4</v>
      </c>
      <c r="B10" s="735" t="s">
        <v>431</v>
      </c>
      <c r="C10" s="744"/>
      <c r="D10" s="118">
        <v>1</v>
      </c>
      <c r="E10" s="43">
        <v>12</v>
      </c>
      <c r="F10" s="43">
        <f>6359.56+78.91</f>
        <v>6438.47</v>
      </c>
      <c r="G10" s="47">
        <f>E10*F10+0.28+0.08</f>
        <v>77262</v>
      </c>
    </row>
    <row r="11" spans="1:7" ht="15">
      <c r="A11" s="118">
        <v>5</v>
      </c>
      <c r="B11" s="735" t="s">
        <v>432</v>
      </c>
      <c r="C11" s="744"/>
      <c r="D11" s="118">
        <v>1</v>
      </c>
      <c r="E11" s="43">
        <v>1</v>
      </c>
      <c r="F11" s="43">
        <v>15438</v>
      </c>
      <c r="G11" s="47">
        <f>F11</f>
        <v>15438</v>
      </c>
    </row>
    <row r="12" spans="1:7" ht="34.5" customHeight="1">
      <c r="A12" s="118">
        <v>6</v>
      </c>
      <c r="B12" s="735" t="s">
        <v>433</v>
      </c>
      <c r="C12" s="744"/>
      <c r="D12" s="118">
        <v>1</v>
      </c>
      <c r="E12" s="43">
        <v>1</v>
      </c>
      <c r="F12" s="43">
        <v>115.83</v>
      </c>
      <c r="G12" s="47">
        <f>D12*E12*F12</f>
        <v>115.83</v>
      </c>
    </row>
    <row r="13" spans="1:7" ht="29.25" customHeight="1" hidden="1">
      <c r="A13" s="118"/>
      <c r="B13" s="735"/>
      <c r="C13" s="745"/>
      <c r="D13" s="118"/>
      <c r="E13" s="43"/>
      <c r="F13" s="43"/>
      <c r="G13" s="47"/>
    </row>
    <row r="14" spans="1:7" ht="33.75" customHeight="1" hidden="1">
      <c r="A14" s="118"/>
      <c r="B14" s="735"/>
      <c r="C14" s="745"/>
      <c r="D14" s="118"/>
      <c r="E14" s="43"/>
      <c r="F14" s="43"/>
      <c r="G14" s="47"/>
    </row>
    <row r="15" spans="1:7" ht="19.5" customHeight="1">
      <c r="A15" s="118"/>
      <c r="B15" s="746" t="s">
        <v>315</v>
      </c>
      <c r="C15" s="747"/>
      <c r="D15" s="101" t="s">
        <v>34</v>
      </c>
      <c r="E15" s="43" t="s">
        <v>34</v>
      </c>
      <c r="F15" s="43" t="s">
        <v>34</v>
      </c>
      <c r="G15" s="47">
        <f>SUM(G7:G14)</f>
        <v>134215.83</v>
      </c>
    </row>
    <row r="16" spans="1:7" ht="27" customHeight="1">
      <c r="A16" s="118"/>
      <c r="B16" s="748" t="s">
        <v>458</v>
      </c>
      <c r="C16" s="749"/>
      <c r="D16" s="118"/>
      <c r="E16" s="43"/>
      <c r="F16" s="43"/>
      <c r="G16" s="47">
        <v>84.17</v>
      </c>
    </row>
    <row r="17" spans="1:7" ht="15">
      <c r="A17" s="53"/>
      <c r="B17" s="746" t="s">
        <v>351</v>
      </c>
      <c r="C17" s="747"/>
      <c r="D17" s="101" t="s">
        <v>34</v>
      </c>
      <c r="E17" s="43" t="s">
        <v>34</v>
      </c>
      <c r="F17" s="43" t="s">
        <v>34</v>
      </c>
      <c r="G17" s="47">
        <f>G15+G16</f>
        <v>134300</v>
      </c>
    </row>
    <row r="19" spans="1:7" ht="14.25" hidden="1">
      <c r="A19" s="649" t="s">
        <v>434</v>
      </c>
      <c r="B19" s="649"/>
      <c r="C19" s="649"/>
      <c r="D19" s="649"/>
      <c r="E19" s="649"/>
      <c r="F19" s="649"/>
      <c r="G19" s="649"/>
    </row>
    <row r="20" spans="1:7" ht="75" hidden="1">
      <c r="A20" s="41" t="s">
        <v>308</v>
      </c>
      <c r="B20" s="672" t="s">
        <v>345</v>
      </c>
      <c r="C20" s="750"/>
      <c r="D20" s="742"/>
      <c r="E20" s="41" t="s">
        <v>435</v>
      </c>
      <c r="F20" s="119" t="s">
        <v>436</v>
      </c>
      <c r="G20" s="41" t="s">
        <v>437</v>
      </c>
    </row>
    <row r="21" spans="1:7" ht="15" hidden="1">
      <c r="A21" s="43">
        <v>1</v>
      </c>
      <c r="B21" s="674">
        <v>2</v>
      </c>
      <c r="C21" s="751"/>
      <c r="D21" s="743"/>
      <c r="E21" s="43">
        <v>3</v>
      </c>
      <c r="F21" s="120">
        <v>4</v>
      </c>
      <c r="G21" s="43">
        <v>5</v>
      </c>
    </row>
    <row r="22" spans="1:7" ht="15" hidden="1">
      <c r="A22" s="53"/>
      <c r="B22" s="674"/>
      <c r="C22" s="751"/>
      <c r="D22" s="743"/>
      <c r="E22" s="53"/>
      <c r="F22" s="120"/>
      <c r="G22" s="53">
        <f>E22*D22</f>
        <v>0</v>
      </c>
    </row>
    <row r="23" spans="1:7" ht="15" hidden="1">
      <c r="A23" s="53"/>
      <c r="B23" s="674"/>
      <c r="C23" s="751"/>
      <c r="D23" s="743"/>
      <c r="E23" s="53"/>
      <c r="F23" s="120"/>
      <c r="G23" s="53">
        <f>E23*D23</f>
        <v>0</v>
      </c>
    </row>
    <row r="24" spans="1:7" ht="15" hidden="1">
      <c r="A24" s="53"/>
      <c r="B24" s="655" t="s">
        <v>351</v>
      </c>
      <c r="C24" s="656"/>
      <c r="D24" s="657"/>
      <c r="E24" s="53"/>
      <c r="F24" s="120"/>
      <c r="G24" s="53"/>
    </row>
    <row r="25" spans="1:7" ht="14.25">
      <c r="A25" s="649" t="s">
        <v>438</v>
      </c>
      <c r="B25" s="649"/>
      <c r="C25" s="649"/>
      <c r="D25" s="649"/>
      <c r="E25" s="649"/>
      <c r="F25" s="649"/>
      <c r="G25" s="649"/>
    </row>
    <row r="26" spans="1:7" ht="75">
      <c r="A26" s="41" t="s">
        <v>308</v>
      </c>
      <c r="B26" s="41" t="s">
        <v>19</v>
      </c>
      <c r="C26" s="41" t="s">
        <v>439</v>
      </c>
      <c r="D26" s="41" t="s">
        <v>440</v>
      </c>
      <c r="E26" s="41" t="s">
        <v>441</v>
      </c>
      <c r="F26" s="41" t="s">
        <v>442</v>
      </c>
      <c r="G26" s="41" t="s">
        <v>443</v>
      </c>
    </row>
    <row r="27" spans="1:7" ht="15">
      <c r="A27" s="43">
        <v>1</v>
      </c>
      <c r="B27" s="43">
        <v>2</v>
      </c>
      <c r="C27" s="43">
        <v>3</v>
      </c>
      <c r="D27" s="43">
        <v>4</v>
      </c>
      <c r="E27" s="43">
        <v>5</v>
      </c>
      <c r="F27" s="43">
        <v>6</v>
      </c>
      <c r="G27" s="43">
        <v>7</v>
      </c>
    </row>
    <row r="28" spans="1:7" ht="15" hidden="1">
      <c r="A28" s="43"/>
      <c r="B28" s="121"/>
      <c r="C28" s="43"/>
      <c r="D28" s="72"/>
      <c r="E28" s="72"/>
      <c r="F28" s="72"/>
      <c r="G28" s="122"/>
    </row>
    <row r="29" spans="1:7" ht="15" hidden="1">
      <c r="A29" s="43"/>
      <c r="B29" s="121"/>
      <c r="C29" s="43"/>
      <c r="D29" s="72"/>
      <c r="E29" s="72"/>
      <c r="F29" s="72"/>
      <c r="G29" s="122"/>
    </row>
    <row r="30" spans="1:7" ht="15" hidden="1">
      <c r="A30" s="43"/>
      <c r="B30" s="121"/>
      <c r="C30" s="43"/>
      <c r="D30" s="72"/>
      <c r="E30" s="72"/>
      <c r="F30" s="72"/>
      <c r="G30" s="122"/>
    </row>
    <row r="31" spans="1:7" ht="15">
      <c r="A31" s="43">
        <v>1</v>
      </c>
      <c r="B31" s="121" t="s">
        <v>447</v>
      </c>
      <c r="C31" s="43" t="s">
        <v>446</v>
      </c>
      <c r="D31" s="72">
        <v>270.5</v>
      </c>
      <c r="E31" s="72">
        <v>30.314</v>
      </c>
      <c r="F31" s="72"/>
      <c r="G31" s="122">
        <f>D31*E31+0.06</f>
        <v>8199.997</v>
      </c>
    </row>
    <row r="32" spans="1:7" ht="15">
      <c r="A32" s="43">
        <v>2</v>
      </c>
      <c r="B32" s="121" t="s">
        <v>448</v>
      </c>
      <c r="C32" s="43" t="s">
        <v>446</v>
      </c>
      <c r="D32" s="72">
        <v>386.4</v>
      </c>
      <c r="E32" s="72">
        <v>65.864</v>
      </c>
      <c r="F32" s="72"/>
      <c r="G32" s="122">
        <f>D32*E32+0.15</f>
        <v>25449.999600000003</v>
      </c>
    </row>
    <row r="33" spans="1:7" ht="15" hidden="1">
      <c r="A33" s="43"/>
      <c r="B33" s="121"/>
      <c r="C33" s="43"/>
      <c r="D33" s="72"/>
      <c r="E33" s="72"/>
      <c r="F33" s="72"/>
      <c r="G33" s="122"/>
    </row>
    <row r="34" spans="1:7" ht="15">
      <c r="A34" s="43">
        <v>3</v>
      </c>
      <c r="B34" s="121" t="s">
        <v>449</v>
      </c>
      <c r="C34" s="43" t="s">
        <v>446</v>
      </c>
      <c r="D34" s="72">
        <v>10.44</v>
      </c>
      <c r="E34" s="72">
        <v>617.81</v>
      </c>
      <c r="F34" s="72"/>
      <c r="G34" s="122">
        <f>D34*E34+30.06</f>
        <v>6479.996399999999</v>
      </c>
    </row>
    <row r="35" spans="1:7" ht="15">
      <c r="A35" s="43"/>
      <c r="B35" s="121" t="s">
        <v>338</v>
      </c>
      <c r="C35" s="121"/>
      <c r="D35" s="72"/>
      <c r="E35" s="72"/>
      <c r="F35" s="72"/>
      <c r="G35" s="122">
        <f>G28+G29+G30+G31+G32+G33+G34+0.01</f>
        <v>40130.003</v>
      </c>
    </row>
    <row r="36" spans="1:7" ht="36.75" customHeight="1">
      <c r="A36" s="123">
        <v>4</v>
      </c>
      <c r="B36" s="124" t="s">
        <v>458</v>
      </c>
      <c r="C36" s="53"/>
      <c r="D36" s="53"/>
      <c r="E36" s="72"/>
      <c r="F36" s="72"/>
      <c r="G36" s="125">
        <v>0</v>
      </c>
    </row>
    <row r="37" spans="1:7" ht="15">
      <c r="A37" s="53"/>
      <c r="B37" s="121" t="s">
        <v>351</v>
      </c>
      <c r="C37" s="54"/>
      <c r="D37" s="72"/>
      <c r="E37" s="72"/>
      <c r="F37" s="72"/>
      <c r="G37" s="72">
        <f>G35</f>
        <v>40130.003</v>
      </c>
    </row>
    <row r="38" ht="12.75" hidden="1"/>
    <row r="39" spans="1:7" ht="14.25" hidden="1">
      <c r="A39" s="649" t="s">
        <v>450</v>
      </c>
      <c r="B39" s="649"/>
      <c r="C39" s="649"/>
      <c r="D39" s="649"/>
      <c r="E39" s="649"/>
      <c r="F39" s="649"/>
      <c r="G39" s="649"/>
    </row>
    <row r="40" spans="1:7" ht="45" hidden="1">
      <c r="A40" s="41" t="s">
        <v>308</v>
      </c>
      <c r="B40" s="672" t="s">
        <v>19</v>
      </c>
      <c r="C40" s="750"/>
      <c r="D40" s="742"/>
      <c r="E40" s="41" t="s">
        <v>451</v>
      </c>
      <c r="F40" s="119" t="s">
        <v>452</v>
      </c>
      <c r="G40" s="41" t="s">
        <v>453</v>
      </c>
    </row>
    <row r="41" spans="1:7" ht="15" hidden="1">
      <c r="A41" s="43">
        <v>1</v>
      </c>
      <c r="B41" s="674">
        <v>2</v>
      </c>
      <c r="C41" s="751"/>
      <c r="D41" s="743"/>
      <c r="E41" s="43">
        <v>4</v>
      </c>
      <c r="F41" s="120">
        <v>5</v>
      </c>
      <c r="G41" s="43">
        <v>6</v>
      </c>
    </row>
    <row r="42" spans="1:7" ht="15" hidden="1">
      <c r="A42" s="53"/>
      <c r="B42" s="674"/>
      <c r="C42" s="751"/>
      <c r="D42" s="743"/>
      <c r="E42" s="53"/>
      <c r="F42" s="120"/>
      <c r="G42" s="53">
        <f>E42*F42</f>
        <v>0</v>
      </c>
    </row>
    <row r="43" spans="1:7" ht="15" hidden="1">
      <c r="A43" s="53"/>
      <c r="B43" s="674"/>
      <c r="C43" s="751"/>
      <c r="D43" s="743"/>
      <c r="E43" s="53"/>
      <c r="F43" s="120"/>
      <c r="G43" s="53">
        <f>E43*F43</f>
        <v>0</v>
      </c>
    </row>
    <row r="44" spans="1:7" ht="15" hidden="1">
      <c r="A44" s="53"/>
      <c r="B44" s="655" t="s">
        <v>351</v>
      </c>
      <c r="C44" s="656"/>
      <c r="D44" s="657"/>
      <c r="E44" s="53"/>
      <c r="F44" s="120"/>
      <c r="G44" s="53"/>
    </row>
    <row r="45" spans="1:7" ht="15">
      <c r="A45" s="56"/>
      <c r="B45" s="126"/>
      <c r="C45" s="126"/>
      <c r="D45" s="126"/>
      <c r="E45" s="56"/>
      <c r="F45" s="127"/>
      <c r="G45" s="128"/>
    </row>
    <row r="46" spans="1:7" ht="14.25">
      <c r="A46" s="755"/>
      <c r="B46" s="612"/>
      <c r="C46" s="612"/>
      <c r="D46" s="612"/>
      <c r="E46" s="612"/>
      <c r="F46" s="612"/>
      <c r="G46" s="612"/>
    </row>
    <row r="47" spans="1:7" ht="15">
      <c r="A47" s="752" t="s">
        <v>454</v>
      </c>
      <c r="B47" s="753"/>
      <c r="C47" s="753"/>
      <c r="D47" s="753"/>
      <c r="E47" s="129"/>
      <c r="F47" s="129"/>
      <c r="G47" s="130"/>
    </row>
    <row r="48" spans="1:7" ht="12.75">
      <c r="A48" s="131"/>
      <c r="B48" s="754"/>
      <c r="C48" s="754"/>
      <c r="D48" s="754"/>
      <c r="E48" s="131"/>
      <c r="F48" s="131"/>
      <c r="G48" s="131"/>
    </row>
    <row r="49" spans="1:7" ht="74.25" customHeight="1">
      <c r="A49" s="41" t="s">
        <v>308</v>
      </c>
      <c r="B49" s="41" t="s">
        <v>19</v>
      </c>
      <c r="C49" s="41" t="s">
        <v>439</v>
      </c>
      <c r="D49" s="41" t="s">
        <v>440</v>
      </c>
      <c r="E49" s="41" t="s">
        <v>441</v>
      </c>
      <c r="F49" s="41" t="s">
        <v>442</v>
      </c>
      <c r="G49" s="41" t="s">
        <v>443</v>
      </c>
    </row>
    <row r="50" spans="1:7" ht="15">
      <c r="A50" s="43">
        <v>1</v>
      </c>
      <c r="B50" s="43">
        <v>2</v>
      </c>
      <c r="C50" s="43">
        <v>3</v>
      </c>
      <c r="D50" s="43">
        <v>4</v>
      </c>
      <c r="E50" s="43">
        <v>5</v>
      </c>
      <c r="F50" s="43">
        <v>6</v>
      </c>
      <c r="G50" s="43">
        <v>7</v>
      </c>
    </row>
    <row r="51" spans="1:7" ht="15">
      <c r="A51" s="43">
        <v>1</v>
      </c>
      <c r="B51" s="121" t="s">
        <v>455</v>
      </c>
      <c r="C51" s="43" t="s">
        <v>456</v>
      </c>
      <c r="D51" s="72">
        <v>5030</v>
      </c>
      <c r="E51" s="72">
        <v>8.664</v>
      </c>
      <c r="F51" s="72"/>
      <c r="G51" s="122">
        <f>D51*E51+0.08</f>
        <v>43580</v>
      </c>
    </row>
    <row r="52" spans="1:7" ht="18.75" customHeight="1">
      <c r="A52" s="43">
        <v>2</v>
      </c>
      <c r="B52" s="121" t="s">
        <v>457</v>
      </c>
      <c r="C52" s="43" t="s">
        <v>445</v>
      </c>
      <c r="D52" s="72">
        <v>272.093</v>
      </c>
      <c r="E52" s="72">
        <v>9438</v>
      </c>
      <c r="F52" s="72"/>
      <c r="G52" s="122">
        <f>D52*E52+36.31</f>
        <v>2568050.044</v>
      </c>
    </row>
    <row r="53" spans="1:7" ht="12.75" customHeight="1" hidden="1">
      <c r="A53" s="132"/>
      <c r="B53" s="132"/>
      <c r="C53" s="132"/>
      <c r="D53" s="132"/>
      <c r="E53" s="132"/>
      <c r="F53" s="132"/>
      <c r="G53" s="132"/>
    </row>
    <row r="54" spans="1:7" ht="12.75" customHeight="1">
      <c r="A54" s="132"/>
      <c r="B54" s="121" t="s">
        <v>444</v>
      </c>
      <c r="C54" s="43" t="s">
        <v>446</v>
      </c>
      <c r="D54" s="72">
        <v>115.9</v>
      </c>
      <c r="E54" s="72">
        <v>31.406</v>
      </c>
      <c r="F54" s="72"/>
      <c r="G54" s="122">
        <f>D54*E54+0.04</f>
        <v>3639.9954</v>
      </c>
    </row>
    <row r="55" spans="1:7" ht="12.75" customHeight="1">
      <c r="A55" s="43"/>
      <c r="B55" s="121" t="s">
        <v>338</v>
      </c>
      <c r="C55" s="121"/>
      <c r="D55" s="72"/>
      <c r="E55" s="72"/>
      <c r="F55" s="72"/>
      <c r="G55" s="122">
        <f>G51+G52+G54</f>
        <v>2615270.0394</v>
      </c>
    </row>
    <row r="56" spans="1:7" ht="32.25" customHeight="1">
      <c r="A56" s="123">
        <v>3</v>
      </c>
      <c r="B56" s="124" t="s">
        <v>458</v>
      </c>
      <c r="C56" s="53"/>
      <c r="D56" s="53"/>
      <c r="E56" s="72"/>
      <c r="F56" s="72"/>
      <c r="G56" s="125">
        <v>211169.96</v>
      </c>
    </row>
    <row r="57" spans="1:7" ht="15">
      <c r="A57" s="53"/>
      <c r="B57" s="121" t="s">
        <v>351</v>
      </c>
      <c r="C57" s="54"/>
      <c r="D57" s="72"/>
      <c r="E57" s="72"/>
      <c r="F57" s="72"/>
      <c r="G57" s="72">
        <f>G55+G56</f>
        <v>2826439.9994</v>
      </c>
    </row>
    <row r="58" spans="1:7" ht="12.75" customHeight="1" hidden="1">
      <c r="A58" s="132"/>
      <c r="B58" s="132"/>
      <c r="C58" s="132"/>
      <c r="D58" s="132"/>
      <c r="E58" s="132"/>
      <c r="F58" s="132"/>
      <c r="G58" s="132"/>
    </row>
    <row r="59" spans="1:7" ht="12.75">
      <c r="A59" s="132"/>
      <c r="B59" s="132"/>
      <c r="C59" s="132"/>
      <c r="D59" s="132"/>
      <c r="E59" s="132"/>
      <c r="F59" s="132"/>
      <c r="G59" s="132"/>
    </row>
    <row r="60" spans="1:7" ht="12.75" customHeight="1" hidden="1">
      <c r="A60" s="132"/>
      <c r="B60" s="132"/>
      <c r="C60" s="132"/>
      <c r="D60" s="132"/>
      <c r="E60" s="132"/>
      <c r="F60" s="132"/>
      <c r="G60" s="132"/>
    </row>
    <row r="61" spans="1:7" ht="43.5" customHeight="1">
      <c r="A61" s="132"/>
      <c r="B61" s="132"/>
      <c r="C61" s="132"/>
      <c r="D61" s="132"/>
      <c r="E61" s="132"/>
      <c r="F61" s="132"/>
      <c r="G61" s="275">
        <f>G37+G57</f>
        <v>2866570.0024</v>
      </c>
    </row>
    <row r="62" ht="12.75">
      <c r="G62" s="52"/>
    </row>
  </sheetData>
  <sheetProtection/>
  <mergeCells count="32">
    <mergeCell ref="A47:D47"/>
    <mergeCell ref="B48:D48"/>
    <mergeCell ref="B40:D40"/>
    <mergeCell ref="B41:D41"/>
    <mergeCell ref="B42:D42"/>
    <mergeCell ref="B43:D43"/>
    <mergeCell ref="B44:D44"/>
    <mergeCell ref="A46:G46"/>
    <mergeCell ref="B21:D21"/>
    <mergeCell ref="B22:D22"/>
    <mergeCell ref="B23:D23"/>
    <mergeCell ref="B24:D24"/>
    <mergeCell ref="A25:G25"/>
    <mergeCell ref="A39:G39"/>
    <mergeCell ref="B14:C14"/>
    <mergeCell ref="B15:C15"/>
    <mergeCell ref="B16:C16"/>
    <mergeCell ref="B17:C17"/>
    <mergeCell ref="A19:G19"/>
    <mergeCell ref="B20:D20"/>
    <mergeCell ref="B8:C8"/>
    <mergeCell ref="B9:C9"/>
    <mergeCell ref="B10:C10"/>
    <mergeCell ref="B11:C11"/>
    <mergeCell ref="B12:C12"/>
    <mergeCell ref="B13:C13"/>
    <mergeCell ref="A1:G1"/>
    <mergeCell ref="A3:G3"/>
    <mergeCell ref="A4:G4"/>
    <mergeCell ref="B5:C5"/>
    <mergeCell ref="B6:C6"/>
    <mergeCell ref="B7:C7"/>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H51"/>
  <sheetViews>
    <sheetView view="pageBreakPreview" zoomScale="85" zoomScaleSheetLayoutView="85" zoomScalePageLayoutView="0" workbookViewId="0" topLeftCell="A22">
      <selection activeCell="G50" sqref="G50:G51"/>
    </sheetView>
  </sheetViews>
  <sheetFormatPr defaultColWidth="9.33203125" defaultRowHeight="12.75"/>
  <cols>
    <col min="1" max="1" width="9.33203125" style="38" customWidth="1"/>
    <col min="2" max="2" width="44.5" style="38" customWidth="1"/>
    <col min="3" max="3" width="14.5" style="38" customWidth="1"/>
    <col min="4" max="5" width="9.33203125" style="38" hidden="1" customWidth="1"/>
    <col min="6" max="6" width="21.83203125" style="38" customWidth="1"/>
    <col min="7" max="7" width="17.33203125" style="38" customWidth="1"/>
    <col min="8" max="8" width="11.66015625" style="38" customWidth="1"/>
    <col min="9" max="16384" width="9.33203125" style="38" customWidth="1"/>
  </cols>
  <sheetData>
    <row r="1" spans="1:7" ht="32.25" customHeight="1">
      <c r="A1" s="650" t="s">
        <v>459</v>
      </c>
      <c r="B1" s="650"/>
      <c r="C1" s="650"/>
      <c r="D1" s="650"/>
      <c r="E1" s="650"/>
      <c r="F1" s="650"/>
      <c r="G1" s="740"/>
    </row>
    <row r="2" spans="1:6" ht="15">
      <c r="A2" s="110" t="s">
        <v>423</v>
      </c>
      <c r="B2" s="110"/>
      <c r="C2" s="110"/>
      <c r="D2" s="74"/>
      <c r="E2" s="74"/>
      <c r="F2" s="74"/>
    </row>
    <row r="3" ht="12.75" hidden="1"/>
    <row r="4" spans="1:7" ht="14.25" hidden="1">
      <c r="A4" s="649" t="s">
        <v>450</v>
      </c>
      <c r="B4" s="649"/>
      <c r="C4" s="649"/>
      <c r="D4" s="649"/>
      <c r="E4" s="649"/>
      <c r="F4" s="649"/>
      <c r="G4" s="649"/>
    </row>
    <row r="5" spans="1:7" ht="45" hidden="1">
      <c r="A5" s="41" t="s">
        <v>308</v>
      </c>
      <c r="B5" s="672" t="s">
        <v>19</v>
      </c>
      <c r="C5" s="750"/>
      <c r="D5" s="742"/>
      <c r="E5" s="41" t="s">
        <v>451</v>
      </c>
      <c r="F5" s="119" t="s">
        <v>452</v>
      </c>
      <c r="G5" s="41" t="s">
        <v>453</v>
      </c>
    </row>
    <row r="6" spans="1:7" ht="15" hidden="1">
      <c r="A6" s="43">
        <v>1</v>
      </c>
      <c r="B6" s="674">
        <v>2</v>
      </c>
      <c r="C6" s="751"/>
      <c r="D6" s="743"/>
      <c r="E6" s="43">
        <v>4</v>
      </c>
      <c r="F6" s="120">
        <v>5</v>
      </c>
      <c r="G6" s="43">
        <v>6</v>
      </c>
    </row>
    <row r="7" spans="1:7" ht="15" hidden="1">
      <c r="A7" s="53"/>
      <c r="B7" s="674"/>
      <c r="C7" s="751"/>
      <c r="D7" s="743"/>
      <c r="E7" s="53"/>
      <c r="F7" s="120"/>
      <c r="G7" s="53">
        <f>E7*F7</f>
        <v>0</v>
      </c>
    </row>
    <row r="8" spans="1:7" ht="15" hidden="1">
      <c r="A8" s="53"/>
      <c r="B8" s="674"/>
      <c r="C8" s="751"/>
      <c r="D8" s="743"/>
      <c r="E8" s="53"/>
      <c r="F8" s="120"/>
      <c r="G8" s="53">
        <f>E8*F8</f>
        <v>0</v>
      </c>
    </row>
    <row r="9" spans="1:7" ht="15" hidden="1">
      <c r="A9" s="53"/>
      <c r="B9" s="655" t="s">
        <v>351</v>
      </c>
      <c r="C9" s="656"/>
      <c r="D9" s="657"/>
      <c r="E9" s="53"/>
      <c r="F9" s="120"/>
      <c r="G9" s="53"/>
    </row>
    <row r="10" spans="1:7" ht="15">
      <c r="A10" s="56"/>
      <c r="B10" s="126"/>
      <c r="C10" s="126"/>
      <c r="D10" s="126"/>
      <c r="E10" s="56"/>
      <c r="F10" s="127"/>
      <c r="G10" s="56"/>
    </row>
    <row r="11" spans="1:7" ht="14.25">
      <c r="A11" s="649" t="s">
        <v>460</v>
      </c>
      <c r="B11" s="649"/>
      <c r="C11" s="649"/>
      <c r="D11" s="649"/>
      <c r="E11" s="649"/>
      <c r="F11" s="649"/>
      <c r="G11" s="649"/>
    </row>
    <row r="12" spans="1:7" ht="45">
      <c r="A12" s="41" t="s">
        <v>308</v>
      </c>
      <c r="B12" s="672" t="s">
        <v>345</v>
      </c>
      <c r="C12" s="750"/>
      <c r="D12" s="742"/>
      <c r="E12" s="41" t="s">
        <v>461</v>
      </c>
      <c r="F12" s="41" t="s">
        <v>462</v>
      </c>
      <c r="G12" s="41" t="s">
        <v>463</v>
      </c>
    </row>
    <row r="13" spans="1:7" ht="12.75">
      <c r="A13" s="118">
        <v>1</v>
      </c>
      <c r="B13" s="756">
        <v>2</v>
      </c>
      <c r="C13" s="757"/>
      <c r="D13" s="758"/>
      <c r="E13" s="118">
        <v>3</v>
      </c>
      <c r="F13" s="118">
        <v>4</v>
      </c>
      <c r="G13" s="118">
        <v>5</v>
      </c>
    </row>
    <row r="14" spans="1:7" ht="15">
      <c r="A14" s="46">
        <v>1</v>
      </c>
      <c r="B14" s="735" t="s">
        <v>464</v>
      </c>
      <c r="C14" s="759"/>
      <c r="D14" s="654"/>
      <c r="E14" s="760"/>
      <c r="F14" s="43">
        <v>3</v>
      </c>
      <c r="G14" s="72">
        <v>2200</v>
      </c>
    </row>
    <row r="15" spans="1:7" ht="30" customHeight="1">
      <c r="A15" s="46">
        <v>2</v>
      </c>
      <c r="B15" s="735" t="s">
        <v>465</v>
      </c>
      <c r="C15" s="759"/>
      <c r="D15" s="654"/>
      <c r="E15" s="760"/>
      <c r="F15" s="43">
        <v>3</v>
      </c>
      <c r="G15" s="143">
        <v>93877</v>
      </c>
    </row>
    <row r="16" spans="1:7" ht="29.25" customHeight="1">
      <c r="A16" s="46">
        <v>3</v>
      </c>
      <c r="B16" s="735" t="s">
        <v>466</v>
      </c>
      <c r="C16" s="759"/>
      <c r="D16" s="654"/>
      <c r="E16" s="760"/>
      <c r="F16" s="43">
        <v>1</v>
      </c>
      <c r="G16" s="72">
        <f>10846.18*12+0.84</f>
        <v>130155</v>
      </c>
    </row>
    <row r="17" spans="1:7" ht="15">
      <c r="A17" s="46"/>
      <c r="B17" s="144"/>
      <c r="C17" s="145"/>
      <c r="D17" s="146"/>
      <c r="E17" s="760"/>
      <c r="F17" s="43"/>
      <c r="G17" s="72"/>
    </row>
    <row r="18" spans="1:7" ht="32.25" customHeight="1">
      <c r="A18" s="46">
        <v>4</v>
      </c>
      <c r="B18" s="735" t="s">
        <v>467</v>
      </c>
      <c r="C18" s="759"/>
      <c r="D18" s="654"/>
      <c r="E18" s="760"/>
      <c r="F18" s="43">
        <v>1</v>
      </c>
      <c r="G18" s="72">
        <v>76652</v>
      </c>
    </row>
    <row r="19" spans="1:7" ht="15">
      <c r="A19" s="46">
        <v>5</v>
      </c>
      <c r="B19" s="735" t="s">
        <v>468</v>
      </c>
      <c r="C19" s="759"/>
      <c r="D19" s="654"/>
      <c r="E19" s="760"/>
      <c r="F19" s="43">
        <v>1</v>
      </c>
      <c r="G19" s="72">
        <v>40000</v>
      </c>
    </row>
    <row r="20" spans="1:7" ht="15">
      <c r="A20" s="46">
        <v>5</v>
      </c>
      <c r="B20" s="762" t="s">
        <v>469</v>
      </c>
      <c r="C20" s="763"/>
      <c r="D20" s="764"/>
      <c r="E20" s="760"/>
      <c r="F20" s="43">
        <v>1</v>
      </c>
      <c r="G20" s="72">
        <v>30000</v>
      </c>
    </row>
    <row r="21" spans="1:7" ht="15" customHeight="1">
      <c r="A21" s="46">
        <v>6</v>
      </c>
      <c r="B21" s="735" t="s">
        <v>487</v>
      </c>
      <c r="C21" s="759"/>
      <c r="D21" s="654"/>
      <c r="E21" s="760"/>
      <c r="F21" s="46">
        <v>1</v>
      </c>
      <c r="G21" s="72">
        <f>4762*4</f>
        <v>19048</v>
      </c>
    </row>
    <row r="22" spans="1:7" ht="34.5" customHeight="1">
      <c r="A22" s="46">
        <v>7</v>
      </c>
      <c r="B22" s="735" t="s">
        <v>470</v>
      </c>
      <c r="C22" s="759"/>
      <c r="D22" s="744"/>
      <c r="E22" s="760"/>
      <c r="F22" s="43">
        <v>1</v>
      </c>
      <c r="G22" s="72">
        <f>2293*12</f>
        <v>27516</v>
      </c>
    </row>
    <row r="23" spans="1:7" ht="17.25" customHeight="1">
      <c r="A23" s="46">
        <v>8</v>
      </c>
      <c r="B23" s="735" t="s">
        <v>471</v>
      </c>
      <c r="C23" s="759"/>
      <c r="D23" s="654"/>
      <c r="E23" s="760"/>
      <c r="F23" s="43">
        <v>1</v>
      </c>
      <c r="G23" s="72">
        <v>16000</v>
      </c>
    </row>
    <row r="24" spans="1:7" ht="15">
      <c r="A24" s="46">
        <v>10</v>
      </c>
      <c r="B24" s="735" t="s">
        <v>472</v>
      </c>
      <c r="C24" s="653"/>
      <c r="D24" s="654"/>
      <c r="E24" s="760"/>
      <c r="F24" s="43">
        <v>1</v>
      </c>
      <c r="G24" s="72">
        <v>20000</v>
      </c>
    </row>
    <row r="25" spans="1:7" ht="31.5" customHeight="1">
      <c r="A25" s="46">
        <v>9</v>
      </c>
      <c r="B25" s="735" t="s">
        <v>473</v>
      </c>
      <c r="C25" s="653"/>
      <c r="D25" s="654"/>
      <c r="E25" s="760"/>
      <c r="F25" s="43">
        <v>1</v>
      </c>
      <c r="G25" s="72">
        <f>6400*12</f>
        <v>76800</v>
      </c>
    </row>
    <row r="26" spans="1:7" ht="17.25" customHeight="1">
      <c r="A26" s="46">
        <v>10</v>
      </c>
      <c r="B26" s="147" t="s">
        <v>474</v>
      </c>
      <c r="C26" s="148"/>
      <c r="D26" s="149"/>
      <c r="E26" s="761"/>
      <c r="F26" s="43"/>
      <c r="G26" s="72"/>
    </row>
    <row r="27" spans="1:7" ht="17.25" customHeight="1">
      <c r="A27" s="46">
        <v>10</v>
      </c>
      <c r="B27" s="735" t="s">
        <v>548</v>
      </c>
      <c r="C27" s="653"/>
      <c r="D27" s="149"/>
      <c r="E27" s="150"/>
      <c r="F27" s="43">
        <v>1</v>
      </c>
      <c r="G27" s="72"/>
    </row>
    <row r="28" spans="1:7" ht="17.25" customHeight="1">
      <c r="A28" s="46">
        <v>11</v>
      </c>
      <c r="B28" s="253" t="s">
        <v>556</v>
      </c>
      <c r="C28" s="80"/>
      <c r="D28" s="254"/>
      <c r="E28" s="150"/>
      <c r="F28" s="250"/>
      <c r="G28" s="72">
        <v>22752</v>
      </c>
    </row>
    <row r="29" spans="1:7" ht="15">
      <c r="A29" s="46"/>
      <c r="B29" s="735" t="s">
        <v>338</v>
      </c>
      <c r="C29" s="759"/>
      <c r="D29" s="744"/>
      <c r="E29" s="151"/>
      <c r="F29" s="55"/>
      <c r="G29" s="72">
        <f>SUM(G14:G28)</f>
        <v>555000</v>
      </c>
    </row>
    <row r="30" spans="1:8" ht="15">
      <c r="A30" s="46"/>
      <c r="B30" s="735" t="s">
        <v>458</v>
      </c>
      <c r="C30" s="759"/>
      <c r="D30" s="654"/>
      <c r="E30" s="152"/>
      <c r="F30" s="55"/>
      <c r="G30" s="72">
        <v>0</v>
      </c>
      <c r="H30" s="104"/>
    </row>
    <row r="31" spans="1:7" ht="15">
      <c r="A31" s="53"/>
      <c r="B31" s="746" t="s">
        <v>351</v>
      </c>
      <c r="C31" s="765"/>
      <c r="D31" s="747"/>
      <c r="E31" s="43" t="s">
        <v>34</v>
      </c>
      <c r="F31" s="43" t="s">
        <v>34</v>
      </c>
      <c r="G31" s="72">
        <f>G29+G30</f>
        <v>555000</v>
      </c>
    </row>
    <row r="32" ht="12.75">
      <c r="D32" s="153"/>
    </row>
    <row r="33" spans="1:7" ht="14.25">
      <c r="A33" s="649" t="s">
        <v>475</v>
      </c>
      <c r="B33" s="649"/>
      <c r="C33" s="649"/>
      <c r="D33" s="649"/>
      <c r="E33" s="649"/>
      <c r="F33" s="649"/>
      <c r="G33" s="649"/>
    </row>
    <row r="34" spans="1:7" ht="45">
      <c r="A34" s="41" t="s">
        <v>308</v>
      </c>
      <c r="B34" s="672" t="s">
        <v>345</v>
      </c>
      <c r="C34" s="750"/>
      <c r="D34" s="750"/>
      <c r="E34" s="742"/>
      <c r="F34" s="41" t="s">
        <v>476</v>
      </c>
      <c r="G34" s="41" t="s">
        <v>463</v>
      </c>
    </row>
    <row r="35" spans="1:8" ht="15">
      <c r="A35" s="43">
        <v>1</v>
      </c>
      <c r="B35" s="674">
        <v>2</v>
      </c>
      <c r="C35" s="751"/>
      <c r="D35" s="751"/>
      <c r="E35" s="743"/>
      <c r="F35" s="43">
        <v>3</v>
      </c>
      <c r="G35" s="43">
        <v>4</v>
      </c>
      <c r="H35" s="123"/>
    </row>
    <row r="36" spans="1:8" ht="29.25" customHeight="1">
      <c r="A36" s="43">
        <v>1</v>
      </c>
      <c r="B36" s="735" t="s">
        <v>477</v>
      </c>
      <c r="C36" s="759"/>
      <c r="D36" s="653"/>
      <c r="E36" s="654"/>
      <c r="F36" s="43">
        <v>1</v>
      </c>
      <c r="G36" s="72">
        <f>(18083+6259)*1.1+3.8</f>
        <v>26780</v>
      </c>
      <c r="H36" s="104"/>
    </row>
    <row r="37" spans="1:7" ht="15">
      <c r="A37" s="43">
        <v>2</v>
      </c>
      <c r="B37" s="735" t="s">
        <v>478</v>
      </c>
      <c r="C37" s="759"/>
      <c r="D37" s="653"/>
      <c r="E37" s="654"/>
      <c r="F37" s="43">
        <v>1</v>
      </c>
      <c r="G37" s="72">
        <v>5500</v>
      </c>
    </row>
    <row r="38" spans="1:7" ht="15">
      <c r="A38" s="43">
        <v>3</v>
      </c>
      <c r="B38" s="735" t="s">
        <v>549</v>
      </c>
      <c r="C38" s="759"/>
      <c r="D38" s="653"/>
      <c r="E38" s="654"/>
      <c r="F38" s="43">
        <v>1</v>
      </c>
      <c r="G38" s="72">
        <v>59000</v>
      </c>
    </row>
    <row r="39" spans="1:7" ht="15">
      <c r="A39" s="43">
        <v>3</v>
      </c>
      <c r="B39" s="735" t="s">
        <v>479</v>
      </c>
      <c r="C39" s="759"/>
      <c r="D39" s="653"/>
      <c r="E39" s="654"/>
      <c r="F39" s="43">
        <v>1</v>
      </c>
      <c r="G39" s="72">
        <f>(218776+40000)*1.1+0.4-17000</f>
        <v>267654.00000000006</v>
      </c>
    </row>
    <row r="40" spans="1:7" ht="15">
      <c r="A40" s="43">
        <v>4</v>
      </c>
      <c r="B40" s="735" t="s">
        <v>480</v>
      </c>
      <c r="C40" s="759"/>
      <c r="D40" s="653"/>
      <c r="E40" s="654"/>
      <c r="F40" s="43">
        <v>1</v>
      </c>
      <c r="G40" s="72">
        <v>16738</v>
      </c>
    </row>
    <row r="41" spans="1:7" ht="15">
      <c r="A41" s="43">
        <v>5</v>
      </c>
      <c r="B41" s="735" t="s">
        <v>481</v>
      </c>
      <c r="C41" s="759"/>
      <c r="D41" s="653"/>
      <c r="E41" s="654"/>
      <c r="F41" s="43">
        <v>1</v>
      </c>
      <c r="G41" s="72">
        <f>82306*1.1+0.4</f>
        <v>90537</v>
      </c>
    </row>
    <row r="42" spans="1:7" ht="15">
      <c r="A42" s="43">
        <v>6</v>
      </c>
      <c r="B42" s="735" t="s">
        <v>482</v>
      </c>
      <c r="C42" s="759"/>
      <c r="D42" s="653"/>
      <c r="E42" s="654"/>
      <c r="F42" s="43">
        <v>1</v>
      </c>
      <c r="G42" s="72">
        <f>15000*12+22000+7000</f>
        <v>209000</v>
      </c>
    </row>
    <row r="43" spans="1:7" ht="15">
      <c r="A43" s="43">
        <v>7</v>
      </c>
      <c r="B43" s="144" t="s">
        <v>483</v>
      </c>
      <c r="C43" s="145"/>
      <c r="D43" s="154"/>
      <c r="E43" s="146"/>
      <c r="F43" s="43">
        <v>1</v>
      </c>
      <c r="G43" s="72">
        <v>8000</v>
      </c>
    </row>
    <row r="44" spans="1:7" ht="15">
      <c r="A44" s="43">
        <v>8</v>
      </c>
      <c r="B44" s="735" t="s">
        <v>484</v>
      </c>
      <c r="C44" s="759"/>
      <c r="D44" s="653"/>
      <c r="E44" s="654"/>
      <c r="F44" s="43">
        <v>1</v>
      </c>
      <c r="G44" s="72">
        <v>0</v>
      </c>
    </row>
    <row r="45" spans="1:7" ht="15">
      <c r="A45" s="43"/>
      <c r="B45" s="735" t="s">
        <v>557</v>
      </c>
      <c r="C45" s="759"/>
      <c r="D45" s="653"/>
      <c r="E45" s="654"/>
      <c r="F45" s="43">
        <v>1</v>
      </c>
      <c r="G45" s="72">
        <v>182156</v>
      </c>
    </row>
    <row r="46" spans="1:7" ht="15">
      <c r="A46" s="43">
        <v>9</v>
      </c>
      <c r="B46" s="735" t="s">
        <v>485</v>
      </c>
      <c r="C46" s="653"/>
      <c r="D46" s="653"/>
      <c r="E46" s="654"/>
      <c r="F46" s="43">
        <v>1</v>
      </c>
      <c r="G46" s="72">
        <v>0</v>
      </c>
    </row>
    <row r="47" spans="1:8" ht="18" customHeight="1">
      <c r="A47" s="43">
        <v>8</v>
      </c>
      <c r="B47" s="147" t="s">
        <v>486</v>
      </c>
      <c r="C47" s="148"/>
      <c r="D47" s="80"/>
      <c r="E47" s="81"/>
      <c r="F47" s="43">
        <v>1</v>
      </c>
      <c r="G47" s="72">
        <v>0</v>
      </c>
      <c r="H47" s="51">
        <v>415000</v>
      </c>
    </row>
    <row r="48" spans="1:8" ht="15">
      <c r="A48" s="43"/>
      <c r="B48" s="766" t="s">
        <v>338</v>
      </c>
      <c r="C48" s="767"/>
      <c r="D48" s="768"/>
      <c r="E48" s="769"/>
      <c r="F48" s="43"/>
      <c r="G48" s="72">
        <f>SUM(G36:G47)</f>
        <v>865365</v>
      </c>
      <c r="H48" s="51">
        <v>882365</v>
      </c>
    </row>
    <row r="49" ht="12.75">
      <c r="H49" s="51">
        <f>H48-G48</f>
        <v>17000</v>
      </c>
    </row>
    <row r="50" spans="7:8" ht="12.75">
      <c r="G50" s="210">
        <f>632000-8483</f>
        <v>623517</v>
      </c>
      <c r="H50" s="44"/>
    </row>
    <row r="51" ht="12.75">
      <c r="G51" s="51">
        <f>G50-G50</f>
        <v>0</v>
      </c>
    </row>
  </sheetData>
  <sheetProtection/>
  <mergeCells count="40">
    <mergeCell ref="B41:E41"/>
    <mergeCell ref="B42:E42"/>
    <mergeCell ref="B44:E44"/>
    <mergeCell ref="B45:E45"/>
    <mergeCell ref="B46:E46"/>
    <mergeCell ref="B48:E48"/>
    <mergeCell ref="B35:E35"/>
    <mergeCell ref="B36:E36"/>
    <mergeCell ref="B37:E37"/>
    <mergeCell ref="B38:E38"/>
    <mergeCell ref="B39:E39"/>
    <mergeCell ref="B40:E40"/>
    <mergeCell ref="B27:C27"/>
    <mergeCell ref="B29:D29"/>
    <mergeCell ref="B30:D30"/>
    <mergeCell ref="B31:D31"/>
    <mergeCell ref="A33:G33"/>
    <mergeCell ref="B34:E34"/>
    <mergeCell ref="B20:D20"/>
    <mergeCell ref="B21:D21"/>
    <mergeCell ref="B22:D22"/>
    <mergeCell ref="B23:D23"/>
    <mergeCell ref="B24:D24"/>
    <mergeCell ref="B25:D25"/>
    <mergeCell ref="B9:D9"/>
    <mergeCell ref="A11:G11"/>
    <mergeCell ref="B12:D12"/>
    <mergeCell ref="B13:D13"/>
    <mergeCell ref="B14:D14"/>
    <mergeCell ref="E14:E26"/>
    <mergeCell ref="B15:D15"/>
    <mergeCell ref="B16:D16"/>
    <mergeCell ref="B18:D18"/>
    <mergeCell ref="B19:D19"/>
    <mergeCell ref="A1:G1"/>
    <mergeCell ref="A4:G4"/>
    <mergeCell ref="B5:D5"/>
    <mergeCell ref="B6:D6"/>
    <mergeCell ref="B7:D7"/>
    <mergeCell ref="B8:D8"/>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2:H33"/>
  <sheetViews>
    <sheetView zoomScalePageLayoutView="0" workbookViewId="0" topLeftCell="A1">
      <selection activeCell="F19" sqref="F19:F20"/>
    </sheetView>
  </sheetViews>
  <sheetFormatPr defaultColWidth="9.33203125" defaultRowHeight="12.75"/>
  <cols>
    <col min="1" max="1" width="9.33203125" style="38" customWidth="1"/>
    <col min="2" max="2" width="27.5" style="38" customWidth="1"/>
    <col min="3" max="3" width="24.16015625" style="38" customWidth="1"/>
    <col min="4" max="4" width="9.33203125" style="38" customWidth="1"/>
    <col min="5" max="5" width="15" style="38" customWidth="1"/>
    <col min="6" max="6" width="23.5" style="38" customWidth="1"/>
    <col min="7" max="7" width="15.16015625" style="38" customWidth="1"/>
    <col min="8" max="8" width="11.66015625" style="38" bestFit="1" customWidth="1"/>
    <col min="9" max="16384" width="9.33203125" style="38" customWidth="1"/>
  </cols>
  <sheetData>
    <row r="2" spans="1:7" ht="14.25">
      <c r="A2" s="650" t="s">
        <v>459</v>
      </c>
      <c r="B2" s="650"/>
      <c r="C2" s="650"/>
      <c r="D2" s="650"/>
      <c r="E2" s="650"/>
      <c r="F2" s="650"/>
      <c r="G2" s="740"/>
    </row>
    <row r="3" spans="1:2" ht="14.25">
      <c r="A3" s="110" t="s">
        <v>423</v>
      </c>
      <c r="B3" s="110"/>
    </row>
    <row r="5" spans="1:6" ht="14.25">
      <c r="A5" s="612" t="s">
        <v>488</v>
      </c>
      <c r="B5" s="612"/>
      <c r="C5" s="612"/>
      <c r="D5" s="612"/>
      <c r="E5" s="612"/>
      <c r="F5" s="612"/>
    </row>
    <row r="6" spans="1:6" ht="45">
      <c r="A6" s="41" t="s">
        <v>308</v>
      </c>
      <c r="B6" s="672" t="s">
        <v>345</v>
      </c>
      <c r="C6" s="742"/>
      <c r="D6" s="41" t="s">
        <v>451</v>
      </c>
      <c r="E6" s="41" t="s">
        <v>489</v>
      </c>
      <c r="F6" s="41" t="s">
        <v>490</v>
      </c>
    </row>
    <row r="7" spans="1:6" ht="15">
      <c r="A7" s="43"/>
      <c r="B7" s="674">
        <v>1</v>
      </c>
      <c r="C7" s="743"/>
      <c r="D7" s="43">
        <v>2</v>
      </c>
      <c r="E7" s="43">
        <v>3</v>
      </c>
      <c r="F7" s="43">
        <v>4</v>
      </c>
    </row>
    <row r="8" spans="1:6" ht="15">
      <c r="A8" s="43">
        <v>1</v>
      </c>
      <c r="B8" s="144" t="s">
        <v>491</v>
      </c>
      <c r="C8" s="146"/>
      <c r="D8" s="43"/>
      <c r="E8" s="43">
        <v>450</v>
      </c>
      <c r="F8" s="47">
        <f>D8*E8</f>
        <v>0</v>
      </c>
    </row>
    <row r="9" spans="1:6" ht="15">
      <c r="A9" s="43">
        <v>2</v>
      </c>
      <c r="B9" s="144" t="s">
        <v>492</v>
      </c>
      <c r="C9" s="146"/>
      <c r="D9" s="43"/>
      <c r="E9" s="43">
        <v>650</v>
      </c>
      <c r="F9" s="47">
        <f>D9*E9</f>
        <v>0</v>
      </c>
    </row>
    <row r="10" spans="1:6" ht="15">
      <c r="A10" s="43">
        <v>3</v>
      </c>
      <c r="B10" s="144" t="s">
        <v>493</v>
      </c>
      <c r="C10" s="146"/>
      <c r="D10" s="43"/>
      <c r="E10" s="43">
        <v>0</v>
      </c>
      <c r="F10" s="47">
        <f>D10*E10</f>
        <v>0</v>
      </c>
    </row>
    <row r="11" spans="1:6" ht="15">
      <c r="A11" s="43">
        <v>4</v>
      </c>
      <c r="B11" s="144" t="s">
        <v>494</v>
      </c>
      <c r="C11" s="146"/>
      <c r="D11" s="43"/>
      <c r="E11" s="43">
        <v>125</v>
      </c>
      <c r="F11" s="47">
        <f>D11*E11</f>
        <v>0</v>
      </c>
    </row>
    <row r="12" spans="1:7" ht="15" hidden="1">
      <c r="A12" s="43"/>
      <c r="B12" s="144" t="s">
        <v>495</v>
      </c>
      <c r="C12" s="146"/>
      <c r="D12" s="43"/>
      <c r="E12" s="43">
        <v>0</v>
      </c>
      <c r="F12" s="47">
        <f>D12*E12</f>
        <v>0</v>
      </c>
      <c r="G12" s="104"/>
    </row>
    <row r="13" spans="1:6" ht="15" hidden="1">
      <c r="A13" s="43"/>
      <c r="B13" s="144"/>
      <c r="C13" s="146"/>
      <c r="D13" s="43"/>
      <c r="E13" s="43"/>
      <c r="F13" s="47"/>
    </row>
    <row r="14" spans="1:6" ht="15">
      <c r="A14" s="43">
        <v>5</v>
      </c>
      <c r="B14" s="144" t="s">
        <v>496</v>
      </c>
      <c r="C14" s="146"/>
      <c r="D14" s="43"/>
      <c r="E14" s="43">
        <v>250</v>
      </c>
      <c r="F14" s="47">
        <f>D14*E14</f>
        <v>0</v>
      </c>
    </row>
    <row r="15" spans="1:8" ht="15">
      <c r="A15" s="53"/>
      <c r="B15" s="655" t="s">
        <v>351</v>
      </c>
      <c r="C15" s="657"/>
      <c r="D15" s="53"/>
      <c r="E15" s="43" t="s">
        <v>34</v>
      </c>
      <c r="F15" s="47">
        <f>F8+F9+F10+F11+F12+F13+F14</f>
        <v>0</v>
      </c>
      <c r="H15" s="104"/>
    </row>
    <row r="16" spans="1:6" ht="15">
      <c r="A16" s="61"/>
      <c r="B16" s="75"/>
      <c r="C16" s="75"/>
      <c r="D16" s="61"/>
      <c r="E16" s="133"/>
      <c r="F16" s="155"/>
    </row>
    <row r="17" spans="1:6" ht="14.25">
      <c r="A17" s="773">
        <f>F15+'[1]244 МЗ (2)'!G47+'[1]244 МЗ (2)'!G30+'[1]244,247 МЗ'!G37+'[1]244,247 МЗ'!G17</f>
        <v>1141908.16</v>
      </c>
      <c r="B17" s="774"/>
      <c r="C17" s="774"/>
      <c r="D17" s="774"/>
      <c r="E17" s="774"/>
      <c r="F17" s="774"/>
    </row>
    <row r="18" spans="1:7" ht="15">
      <c r="A18" s="224"/>
      <c r="B18" s="770"/>
      <c r="C18" s="770"/>
      <c r="D18" s="224"/>
      <c r="E18" s="224"/>
      <c r="F18" s="130"/>
      <c r="G18" s="66"/>
    </row>
    <row r="19" spans="1:7" ht="24" customHeight="1">
      <c r="A19" s="222"/>
      <c r="B19" s="135"/>
      <c r="C19" s="136"/>
      <c r="D19" s="138"/>
      <c r="E19" s="156"/>
      <c r="F19" s="266"/>
      <c r="G19" s="157"/>
    </row>
    <row r="20" spans="1:7" ht="25.5" customHeight="1">
      <c r="A20" s="61"/>
      <c r="B20" s="223"/>
      <c r="C20" s="223"/>
      <c r="D20" s="139"/>
      <c r="E20" s="223"/>
      <c r="F20" s="266"/>
      <c r="G20" s="223"/>
    </row>
    <row r="21" spans="1:7" ht="18.75">
      <c r="A21" s="66"/>
      <c r="B21" s="140"/>
      <c r="C21" s="136"/>
      <c r="D21" s="223"/>
      <c r="E21" s="139"/>
      <c r="F21" s="139"/>
      <c r="G21" s="139"/>
    </row>
    <row r="22" spans="1:7" ht="21" customHeight="1">
      <c r="A22" s="66"/>
      <c r="B22" s="140"/>
      <c r="C22" s="136"/>
      <c r="D22" s="136"/>
      <c r="E22" s="223"/>
      <c r="F22" s="223"/>
      <c r="G22" s="223"/>
    </row>
    <row r="23" spans="1:7" ht="18.75">
      <c r="A23" s="66"/>
      <c r="B23" s="140"/>
      <c r="C23" s="137"/>
      <c r="D23" s="136"/>
      <c r="E23" s="139"/>
      <c r="F23" s="139"/>
      <c r="G23" s="139"/>
    </row>
    <row r="24" spans="1:7" ht="29.25" customHeight="1">
      <c r="A24" s="66"/>
      <c r="B24" s="159"/>
      <c r="C24" s="66"/>
      <c r="D24" s="66"/>
      <c r="E24" s="66"/>
      <c r="F24" s="66"/>
      <c r="G24" s="66"/>
    </row>
    <row r="25" spans="1:7" ht="12.75">
      <c r="A25" s="66"/>
      <c r="B25" s="66"/>
      <c r="C25" s="66"/>
      <c r="D25" s="66"/>
      <c r="E25" s="66"/>
      <c r="F25" s="66"/>
      <c r="G25" s="66"/>
    </row>
    <row r="26" spans="1:7" ht="18" customHeight="1">
      <c r="A26" s="66"/>
      <c r="B26" s="159"/>
      <c r="C26" s="66"/>
      <c r="D26" s="66"/>
      <c r="E26" s="66"/>
      <c r="F26" s="66"/>
      <c r="G26" s="66"/>
    </row>
    <row r="27" spans="1:7" ht="15.75">
      <c r="A27" s="66"/>
      <c r="B27" s="135"/>
      <c r="C27" s="136"/>
      <c r="D27" s="136"/>
      <c r="E27" s="771"/>
      <c r="F27" s="771"/>
      <c r="G27" s="772"/>
    </row>
    <row r="28" spans="1:7" ht="15.75">
      <c r="A28" s="66"/>
      <c r="B28" s="159"/>
      <c r="C28" s="66"/>
      <c r="D28" s="66"/>
      <c r="E28" s="66"/>
      <c r="F28" s="66"/>
      <c r="G28" s="66"/>
    </row>
    <row r="29" spans="1:7" ht="15.75">
      <c r="A29" s="66"/>
      <c r="B29" s="159"/>
      <c r="C29" s="66"/>
      <c r="D29" s="66"/>
      <c r="E29" s="66"/>
      <c r="F29" s="66"/>
      <c r="G29" s="66"/>
    </row>
    <row r="30" spans="1:6" ht="28.5" customHeight="1">
      <c r="A30" s="66"/>
      <c r="B30" s="159"/>
      <c r="C30" s="66"/>
      <c r="D30" s="66"/>
      <c r="E30" s="66"/>
      <c r="F30" s="66"/>
    </row>
    <row r="31" spans="1:6" ht="15.75">
      <c r="A31" s="66"/>
      <c r="B31" s="135"/>
      <c r="C31" s="136"/>
      <c r="D31" s="136"/>
      <c r="E31" s="771"/>
      <c r="F31" s="772"/>
    </row>
    <row r="32" spans="1:6" ht="12.75">
      <c r="A32" s="66"/>
      <c r="B32" s="66"/>
      <c r="C32" s="66"/>
      <c r="D32" s="66"/>
      <c r="E32" s="66"/>
      <c r="F32" s="66"/>
    </row>
    <row r="33" spans="1:6" ht="12.75">
      <c r="A33" s="66"/>
      <c r="B33" s="66"/>
      <c r="C33" s="66"/>
      <c r="D33" s="66"/>
      <c r="E33" s="66"/>
      <c r="F33" s="66"/>
    </row>
  </sheetData>
  <sheetProtection/>
  <mergeCells count="9">
    <mergeCell ref="B18:C18"/>
    <mergeCell ref="E27:G27"/>
    <mergeCell ref="E31:F31"/>
    <mergeCell ref="A2:G2"/>
    <mergeCell ref="A5:F5"/>
    <mergeCell ref="B6:C6"/>
    <mergeCell ref="B7:C7"/>
    <mergeCell ref="B15:C15"/>
    <mergeCell ref="A17:F17"/>
  </mergeCells>
  <printOptions/>
  <pageMargins left="0.7"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I66"/>
  <sheetViews>
    <sheetView tabSelected="1" view="pageBreakPreview" zoomScaleSheetLayoutView="100" zoomScalePageLayoutView="0" workbookViewId="0" topLeftCell="A32">
      <selection activeCell="H52" activeCellId="3" sqref="H26 H31 H40 H52"/>
    </sheetView>
  </sheetViews>
  <sheetFormatPr defaultColWidth="9.33203125" defaultRowHeight="12.75"/>
  <cols>
    <col min="1" max="1" width="9.33203125" style="38" customWidth="1"/>
    <col min="2" max="2" width="41.16015625" style="38" customWidth="1"/>
    <col min="3" max="3" width="14.5" style="38" customWidth="1"/>
    <col min="4" max="5" width="9.33203125" style="38" hidden="1" customWidth="1"/>
    <col min="6" max="6" width="9.33203125" style="38" customWidth="1"/>
    <col min="7" max="7" width="21.83203125" style="38" customWidth="1"/>
    <col min="8" max="8" width="17.33203125" style="38" customWidth="1"/>
    <col min="9" max="9" width="16.16015625" style="38" customWidth="1"/>
    <col min="10" max="16384" width="9.33203125" style="38" customWidth="1"/>
  </cols>
  <sheetData>
    <row r="1" spans="1:8" ht="14.25" customHeight="1">
      <c r="A1" s="650" t="s">
        <v>531</v>
      </c>
      <c r="B1" s="650"/>
      <c r="C1" s="650"/>
      <c r="D1" s="650"/>
      <c r="E1" s="650"/>
      <c r="F1" s="650"/>
      <c r="G1" s="650"/>
      <c r="H1" s="650"/>
    </row>
    <row r="2" spans="1:7" ht="15">
      <c r="A2" s="110" t="s">
        <v>423</v>
      </c>
      <c r="B2" s="110"/>
      <c r="C2" s="110"/>
      <c r="D2" s="74"/>
      <c r="E2" s="74"/>
      <c r="F2" s="74"/>
      <c r="G2" s="74"/>
    </row>
    <row r="3" spans="1:8" ht="33.75" customHeight="1">
      <c r="A3" s="741" t="s">
        <v>532</v>
      </c>
      <c r="B3" s="741"/>
      <c r="C3" s="741"/>
      <c r="D3" s="741"/>
      <c r="E3" s="741"/>
      <c r="F3" s="741"/>
      <c r="G3" s="741"/>
      <c r="H3" s="741"/>
    </row>
    <row r="4" ht="12.75" hidden="1"/>
    <row r="5" spans="1:8" ht="14.25" hidden="1">
      <c r="A5" s="649" t="s">
        <v>450</v>
      </c>
      <c r="B5" s="649"/>
      <c r="C5" s="649"/>
      <c r="D5" s="649"/>
      <c r="E5" s="649"/>
      <c r="F5" s="649"/>
      <c r="G5" s="649"/>
      <c r="H5" s="649"/>
    </row>
    <row r="6" spans="1:8" ht="45" hidden="1">
      <c r="A6" s="160" t="s">
        <v>308</v>
      </c>
      <c r="B6" s="672" t="s">
        <v>19</v>
      </c>
      <c r="C6" s="750"/>
      <c r="D6" s="742"/>
      <c r="E6" s="160" t="s">
        <v>451</v>
      </c>
      <c r="F6" s="162"/>
      <c r="G6" s="119" t="s">
        <v>452</v>
      </c>
      <c r="H6" s="160" t="s">
        <v>453</v>
      </c>
    </row>
    <row r="7" spans="1:8" ht="15" hidden="1">
      <c r="A7" s="161">
        <v>1</v>
      </c>
      <c r="B7" s="674">
        <v>2</v>
      </c>
      <c r="C7" s="751"/>
      <c r="D7" s="743"/>
      <c r="E7" s="161">
        <v>4</v>
      </c>
      <c r="F7" s="163"/>
      <c r="G7" s="120">
        <v>5</v>
      </c>
      <c r="H7" s="161">
        <v>6</v>
      </c>
    </row>
    <row r="8" spans="1:8" ht="15" hidden="1">
      <c r="A8" s="53"/>
      <c r="B8" s="674"/>
      <c r="C8" s="751"/>
      <c r="D8" s="743"/>
      <c r="E8" s="53"/>
      <c r="F8" s="113"/>
      <c r="G8" s="120"/>
      <c r="H8" s="53">
        <f>E8*G8</f>
        <v>0</v>
      </c>
    </row>
    <row r="9" spans="1:8" ht="15" hidden="1">
      <c r="A9" s="53"/>
      <c r="B9" s="674"/>
      <c r="C9" s="751"/>
      <c r="D9" s="743"/>
      <c r="E9" s="53"/>
      <c r="F9" s="113"/>
      <c r="G9" s="120"/>
      <c r="H9" s="53">
        <f>E9*G9</f>
        <v>0</v>
      </c>
    </row>
    <row r="10" spans="1:8" ht="15" hidden="1">
      <c r="A10" s="53"/>
      <c r="B10" s="655" t="s">
        <v>351</v>
      </c>
      <c r="C10" s="656"/>
      <c r="D10" s="657"/>
      <c r="E10" s="53"/>
      <c r="F10" s="113"/>
      <c r="G10" s="120"/>
      <c r="H10" s="53"/>
    </row>
    <row r="11" spans="1:8" ht="15">
      <c r="A11" s="56"/>
      <c r="B11" s="126"/>
      <c r="C11" s="126"/>
      <c r="D11" s="126"/>
      <c r="E11" s="56"/>
      <c r="F11" s="56"/>
      <c r="G11" s="127"/>
      <c r="H11" s="56"/>
    </row>
    <row r="12" spans="1:8" ht="14.25">
      <c r="A12" s="649" t="s">
        <v>533</v>
      </c>
      <c r="B12" s="649"/>
      <c r="C12" s="649"/>
      <c r="D12" s="649"/>
      <c r="E12" s="649"/>
      <c r="F12" s="649"/>
      <c r="G12" s="649"/>
      <c r="H12" s="649"/>
    </row>
    <row r="13" spans="1:8" ht="45" hidden="1">
      <c r="A13" s="160" t="s">
        <v>308</v>
      </c>
      <c r="B13" s="672" t="s">
        <v>345</v>
      </c>
      <c r="C13" s="750"/>
      <c r="D13" s="742"/>
      <c r="E13" s="160" t="s">
        <v>461</v>
      </c>
      <c r="F13" s="672" t="s">
        <v>462</v>
      </c>
      <c r="G13" s="732"/>
      <c r="H13" s="160" t="s">
        <v>463</v>
      </c>
    </row>
    <row r="14" spans="1:8" ht="12.75" hidden="1">
      <c r="A14" s="118">
        <v>1</v>
      </c>
      <c r="B14" s="756">
        <v>2</v>
      </c>
      <c r="C14" s="757"/>
      <c r="D14" s="758"/>
      <c r="E14" s="118">
        <v>3</v>
      </c>
      <c r="F14" s="756">
        <v>3</v>
      </c>
      <c r="G14" s="734"/>
      <c r="H14" s="118">
        <v>4</v>
      </c>
    </row>
    <row r="15" spans="1:8" ht="33" customHeight="1" hidden="1">
      <c r="A15" s="198">
        <v>1</v>
      </c>
      <c r="B15" s="775"/>
      <c r="C15" s="776"/>
      <c r="D15" s="777"/>
      <c r="E15" s="778"/>
      <c r="F15" s="780"/>
      <c r="G15" s="781"/>
      <c r="H15" s="143"/>
    </row>
    <row r="16" spans="1:8" ht="15" hidden="1">
      <c r="A16" s="198">
        <v>1</v>
      </c>
      <c r="B16" s="782"/>
      <c r="C16" s="783"/>
      <c r="D16" s="784"/>
      <c r="E16" s="779"/>
      <c r="F16" s="780"/>
      <c r="G16" s="781"/>
      <c r="H16" s="143"/>
    </row>
    <row r="17" spans="1:8" ht="15" hidden="1">
      <c r="A17" s="198">
        <v>2</v>
      </c>
      <c r="B17" s="775"/>
      <c r="C17" s="785"/>
      <c r="D17" s="777"/>
      <c r="E17" s="779"/>
      <c r="F17" s="780"/>
      <c r="G17" s="781"/>
      <c r="H17" s="143"/>
    </row>
    <row r="18" spans="1:8" ht="15" hidden="1">
      <c r="A18" s="198">
        <v>3</v>
      </c>
      <c r="B18" s="775"/>
      <c r="C18" s="785"/>
      <c r="D18" s="777"/>
      <c r="E18" s="779"/>
      <c r="F18" s="780"/>
      <c r="G18" s="781"/>
      <c r="H18" s="143"/>
    </row>
    <row r="19" spans="1:8" ht="15" hidden="1">
      <c r="A19" s="199"/>
      <c r="B19" s="786"/>
      <c r="C19" s="787"/>
      <c r="D19" s="788"/>
      <c r="E19" s="240"/>
      <c r="F19" s="780"/>
      <c r="G19" s="781"/>
      <c r="H19" s="143"/>
    </row>
    <row r="20" spans="1:8" ht="12.75" customHeight="1">
      <c r="A20" s="789" t="s">
        <v>534</v>
      </c>
      <c r="B20" s="789"/>
      <c r="C20" s="789"/>
      <c r="D20" s="789"/>
      <c r="E20" s="789"/>
      <c r="F20" s="789"/>
      <c r="G20" s="789"/>
      <c r="H20" s="789"/>
    </row>
    <row r="21" spans="1:8" ht="26.25" customHeight="1">
      <c r="A21" s="200" t="s">
        <v>506</v>
      </c>
      <c r="B21" s="790" t="s">
        <v>345</v>
      </c>
      <c r="C21" s="791"/>
      <c r="D21" s="792"/>
      <c r="E21" s="198" t="s">
        <v>451</v>
      </c>
      <c r="F21" s="200" t="s">
        <v>528</v>
      </c>
      <c r="G21" s="200" t="s">
        <v>489</v>
      </c>
      <c r="H21" s="200" t="s">
        <v>529</v>
      </c>
    </row>
    <row r="22" spans="1:8" ht="14.25" customHeight="1">
      <c r="A22" s="201">
        <v>1</v>
      </c>
      <c r="B22" s="793">
        <v>2</v>
      </c>
      <c r="C22" s="794"/>
      <c r="D22" s="795"/>
      <c r="E22" s="201">
        <v>3</v>
      </c>
      <c r="F22" s="246">
        <v>3</v>
      </c>
      <c r="G22" s="247">
        <v>4</v>
      </c>
      <c r="H22" s="201">
        <v>5</v>
      </c>
    </row>
    <row r="23" spans="1:8" ht="12.75" customHeight="1">
      <c r="A23" s="200">
        <v>1</v>
      </c>
      <c r="B23" s="796" t="s">
        <v>535</v>
      </c>
      <c r="C23" s="797"/>
      <c r="D23" s="797"/>
      <c r="E23" s="798"/>
      <c r="F23" s="200">
        <v>20</v>
      </c>
      <c r="G23" s="200">
        <v>11550</v>
      </c>
      <c r="H23" s="200">
        <f>F23*G23</f>
        <v>231000</v>
      </c>
    </row>
    <row r="24" spans="1:8" ht="12.75" customHeight="1">
      <c r="A24" s="240">
        <v>2</v>
      </c>
      <c r="B24" s="775" t="s">
        <v>550</v>
      </c>
      <c r="C24" s="776"/>
      <c r="D24" s="776"/>
      <c r="E24" s="799"/>
      <c r="F24" s="202">
        <v>95</v>
      </c>
      <c r="G24" s="240">
        <v>6509.47</v>
      </c>
      <c r="H24" s="143">
        <f>F24*G24+0.35</f>
        <v>618400</v>
      </c>
    </row>
    <row r="25" spans="1:8" ht="12.75" customHeight="1" hidden="1">
      <c r="A25" s="240"/>
      <c r="B25" s="244"/>
      <c r="C25" s="245"/>
      <c r="D25" s="245"/>
      <c r="E25" s="248"/>
      <c r="F25" s="202"/>
      <c r="G25" s="240"/>
      <c r="H25" s="143"/>
    </row>
    <row r="26" spans="1:9" ht="12.75" customHeight="1">
      <c r="A26" s="199"/>
      <c r="B26" s="786" t="s">
        <v>407</v>
      </c>
      <c r="C26" s="787"/>
      <c r="D26" s="788"/>
      <c r="E26" s="240"/>
      <c r="F26" s="240"/>
      <c r="G26" s="240" t="s">
        <v>34</v>
      </c>
      <c r="H26" s="203">
        <f>H23+H24+H25</f>
        <v>849400</v>
      </c>
      <c r="I26" s="104"/>
    </row>
    <row r="27" spans="1:8" ht="15" customHeight="1">
      <c r="A27" s="789" t="s">
        <v>536</v>
      </c>
      <c r="B27" s="789"/>
      <c r="C27" s="789"/>
      <c r="D27" s="789"/>
      <c r="E27" s="789"/>
      <c r="F27" s="789"/>
      <c r="G27" s="789"/>
      <c r="H27" s="789"/>
    </row>
    <row r="28" spans="1:8" ht="15" customHeight="1">
      <c r="A28" s="200" t="s">
        <v>506</v>
      </c>
      <c r="B28" s="790" t="s">
        <v>345</v>
      </c>
      <c r="C28" s="791"/>
      <c r="D28" s="792"/>
      <c r="E28" s="198" t="s">
        <v>451</v>
      </c>
      <c r="F28" s="200" t="s">
        <v>528</v>
      </c>
      <c r="G28" s="200" t="s">
        <v>489</v>
      </c>
      <c r="H28" s="200" t="s">
        <v>529</v>
      </c>
    </row>
    <row r="29" spans="1:8" ht="15" customHeight="1">
      <c r="A29" s="204">
        <v>1</v>
      </c>
      <c r="B29" s="801">
        <v>2</v>
      </c>
      <c r="C29" s="802"/>
      <c r="D29" s="803"/>
      <c r="E29" s="204">
        <v>3</v>
      </c>
      <c r="F29" s="271">
        <v>3</v>
      </c>
      <c r="G29" s="821">
        <v>4</v>
      </c>
      <c r="H29" s="204">
        <v>5</v>
      </c>
    </row>
    <row r="30" spans="1:8" ht="15" customHeight="1">
      <c r="A30" s="200">
        <v>1</v>
      </c>
      <c r="B30" s="796" t="s">
        <v>537</v>
      </c>
      <c r="C30" s="797"/>
      <c r="D30" s="797"/>
      <c r="E30" s="798"/>
      <c r="F30" s="200">
        <v>95</v>
      </c>
      <c r="G30" s="200">
        <v>132.63</v>
      </c>
      <c r="H30" s="200">
        <f>F30*G30+0.15</f>
        <v>12600</v>
      </c>
    </row>
    <row r="31" spans="1:8" ht="15" customHeight="1">
      <c r="A31" s="199"/>
      <c r="B31" s="786" t="s">
        <v>407</v>
      </c>
      <c r="C31" s="787"/>
      <c r="D31" s="788"/>
      <c r="E31" s="240"/>
      <c r="F31" s="240"/>
      <c r="G31" s="240" t="s">
        <v>34</v>
      </c>
      <c r="H31" s="203">
        <f>H30</f>
        <v>12600</v>
      </c>
    </row>
    <row r="32" spans="1:8" ht="12.75" customHeight="1">
      <c r="A32" s="800" t="s">
        <v>538</v>
      </c>
      <c r="B32" s="800"/>
      <c r="C32" s="800"/>
      <c r="D32" s="800"/>
      <c r="E32" s="800"/>
      <c r="F32" s="800"/>
      <c r="G32" s="800"/>
      <c r="H32" s="800"/>
    </row>
    <row r="33" spans="1:8" ht="25.5" customHeight="1">
      <c r="A33" s="200" t="s">
        <v>506</v>
      </c>
      <c r="B33" s="790" t="s">
        <v>345</v>
      </c>
      <c r="C33" s="791"/>
      <c r="D33" s="792"/>
      <c r="E33" s="198" t="s">
        <v>451</v>
      </c>
      <c r="F33" s="200" t="s">
        <v>528</v>
      </c>
      <c r="G33" s="200" t="s">
        <v>489</v>
      </c>
      <c r="H33" s="200" t="s">
        <v>529</v>
      </c>
    </row>
    <row r="34" spans="1:8" ht="12.75">
      <c r="A34" s="204">
        <v>1</v>
      </c>
      <c r="B34" s="801">
        <v>2</v>
      </c>
      <c r="C34" s="802"/>
      <c r="D34" s="803"/>
      <c r="E34" s="204">
        <v>3</v>
      </c>
      <c r="F34" s="204"/>
      <c r="G34" s="204">
        <v>4</v>
      </c>
      <c r="H34" s="204">
        <v>5</v>
      </c>
    </row>
    <row r="35" spans="1:8" ht="15">
      <c r="A35" s="240">
        <v>1</v>
      </c>
      <c r="B35" s="804" t="s">
        <v>568</v>
      </c>
      <c r="C35" s="805"/>
      <c r="D35" s="806"/>
      <c r="E35" s="240">
        <v>1</v>
      </c>
      <c r="F35" s="240">
        <v>1</v>
      </c>
      <c r="G35" s="240">
        <v>40000</v>
      </c>
      <c r="H35" s="203">
        <f>F35*G35</f>
        <v>40000</v>
      </c>
    </row>
    <row r="36" spans="1:9" ht="15">
      <c r="A36" s="240">
        <v>2</v>
      </c>
      <c r="B36" s="241" t="s">
        <v>565</v>
      </c>
      <c r="C36" s="242"/>
      <c r="D36" s="243"/>
      <c r="E36" s="240"/>
      <c r="F36" s="240">
        <v>2</v>
      </c>
      <c r="G36" s="240">
        <v>22000</v>
      </c>
      <c r="H36" s="203">
        <f>F36*G36</f>
        <v>44000</v>
      </c>
      <c r="I36" s="807"/>
    </row>
    <row r="37" spans="1:9" ht="15">
      <c r="A37" s="240">
        <v>3</v>
      </c>
      <c r="B37" s="241" t="s">
        <v>566</v>
      </c>
      <c r="C37" s="242"/>
      <c r="D37" s="243"/>
      <c r="E37" s="240"/>
      <c r="F37" s="240">
        <v>2</v>
      </c>
      <c r="G37" s="240">
        <v>2000</v>
      </c>
      <c r="H37" s="203">
        <f>F37*G37</f>
        <v>4000</v>
      </c>
      <c r="I37" s="808"/>
    </row>
    <row r="38" spans="1:9" ht="15">
      <c r="A38" s="267">
        <v>4</v>
      </c>
      <c r="B38" s="268" t="s">
        <v>569</v>
      </c>
      <c r="C38" s="269"/>
      <c r="D38" s="270"/>
      <c r="E38" s="267"/>
      <c r="F38" s="267">
        <v>1</v>
      </c>
      <c r="G38" s="267">
        <v>8000</v>
      </c>
      <c r="H38" s="203">
        <f>F38*G38</f>
        <v>8000</v>
      </c>
      <c r="I38" s="819"/>
    </row>
    <row r="39" spans="1:8" ht="15">
      <c r="A39" s="240">
        <v>5</v>
      </c>
      <c r="B39" s="241" t="s">
        <v>567</v>
      </c>
      <c r="C39" s="242"/>
      <c r="D39" s="243"/>
      <c r="E39" s="240"/>
      <c r="F39" s="240">
        <v>1</v>
      </c>
      <c r="G39" s="240">
        <v>4000</v>
      </c>
      <c r="H39" s="203">
        <f>F39*G39</f>
        <v>4000</v>
      </c>
    </row>
    <row r="40" spans="1:8" ht="13.5" customHeight="1">
      <c r="A40" s="199"/>
      <c r="B40" s="809" t="s">
        <v>407</v>
      </c>
      <c r="C40" s="810"/>
      <c r="D40" s="811"/>
      <c r="E40" s="240"/>
      <c r="F40" s="240"/>
      <c r="G40" s="240"/>
      <c r="H40" s="203">
        <f>H35+H36+H37+H39+H38</f>
        <v>100000</v>
      </c>
    </row>
    <row r="41" spans="1:8" ht="14.25">
      <c r="A41" s="800" t="s">
        <v>539</v>
      </c>
      <c r="B41" s="800"/>
      <c r="C41" s="800"/>
      <c r="D41" s="800"/>
      <c r="E41" s="800"/>
      <c r="F41" s="800"/>
      <c r="G41" s="800"/>
      <c r="H41" s="800"/>
    </row>
    <row r="42" spans="1:8" ht="30">
      <c r="A42" s="200" t="s">
        <v>506</v>
      </c>
      <c r="B42" s="790" t="s">
        <v>345</v>
      </c>
      <c r="C42" s="791"/>
      <c r="D42" s="792"/>
      <c r="E42" s="198" t="s">
        <v>451</v>
      </c>
      <c r="F42" s="200" t="s">
        <v>528</v>
      </c>
      <c r="G42" s="200" t="s">
        <v>489</v>
      </c>
      <c r="H42" s="200" t="s">
        <v>529</v>
      </c>
    </row>
    <row r="43" spans="1:8" ht="10.5" customHeight="1">
      <c r="A43" s="204">
        <v>1</v>
      </c>
      <c r="B43" s="820">
        <v>2</v>
      </c>
      <c r="C43" s="820"/>
      <c r="D43" s="820"/>
      <c r="E43" s="204">
        <v>3</v>
      </c>
      <c r="F43" s="204">
        <v>3</v>
      </c>
      <c r="G43" s="204">
        <v>4</v>
      </c>
      <c r="H43" s="204">
        <v>5</v>
      </c>
    </row>
    <row r="44" spans="1:8" ht="15">
      <c r="A44" s="240">
        <v>1</v>
      </c>
      <c r="B44" s="804" t="s">
        <v>558</v>
      </c>
      <c r="C44" s="805"/>
      <c r="D44" s="806"/>
      <c r="E44" s="240"/>
      <c r="F44" s="240">
        <v>40</v>
      </c>
      <c r="G44" s="240">
        <v>689</v>
      </c>
      <c r="H44" s="203">
        <f>F44*G44</f>
        <v>27560</v>
      </c>
    </row>
    <row r="45" spans="1:9" ht="14.25" customHeight="1">
      <c r="A45" s="205">
        <v>2</v>
      </c>
      <c r="B45" s="206" t="s">
        <v>559</v>
      </c>
      <c r="C45" s="242"/>
      <c r="D45" s="243"/>
      <c r="E45" s="240"/>
      <c r="F45" s="240">
        <v>580</v>
      </c>
      <c r="G45" s="240">
        <v>4</v>
      </c>
      <c r="H45" s="203">
        <f>F45*G45</f>
        <v>2320</v>
      </c>
      <c r="I45" s="215"/>
    </row>
    <row r="46" spans="1:8" ht="15">
      <c r="A46" s="205">
        <v>3</v>
      </c>
      <c r="B46" s="207" t="s">
        <v>540</v>
      </c>
      <c r="C46" s="208"/>
      <c r="D46" s="209"/>
      <c r="E46" s="240"/>
      <c r="F46" s="240">
        <v>95</v>
      </c>
      <c r="G46" s="240">
        <v>45</v>
      </c>
      <c r="H46" s="203">
        <f>F46*G46+25</f>
        <v>4300</v>
      </c>
    </row>
    <row r="47" spans="1:8" ht="30.75" customHeight="1">
      <c r="A47" s="205">
        <v>4</v>
      </c>
      <c r="B47" s="775" t="s">
        <v>541</v>
      </c>
      <c r="C47" s="776"/>
      <c r="D47" s="209"/>
      <c r="E47" s="240"/>
      <c r="F47" s="240">
        <v>95</v>
      </c>
      <c r="G47" s="240">
        <v>330.53</v>
      </c>
      <c r="H47" s="203">
        <f>F47*G47-0.35</f>
        <v>31400</v>
      </c>
    </row>
    <row r="48" spans="1:9" ht="15" customHeight="1" hidden="1">
      <c r="A48" s="205">
        <v>5</v>
      </c>
      <c r="B48" s="244" t="s">
        <v>543</v>
      </c>
      <c r="C48" s="245"/>
      <c r="D48" s="209"/>
      <c r="E48" s="240"/>
      <c r="F48" s="240">
        <v>95</v>
      </c>
      <c r="G48" s="240">
        <f>660.15+6.96</f>
        <v>667.11</v>
      </c>
      <c r="H48" s="203"/>
      <c r="I48" s="807"/>
    </row>
    <row r="49" spans="1:9" ht="15" customHeight="1">
      <c r="A49" s="205">
        <v>5</v>
      </c>
      <c r="B49" s="244" t="s">
        <v>560</v>
      </c>
      <c r="C49" s="245"/>
      <c r="D49" s="209"/>
      <c r="E49" s="240"/>
      <c r="F49" s="240">
        <v>95</v>
      </c>
      <c r="G49" s="240">
        <v>496</v>
      </c>
      <c r="H49" s="203">
        <f>F49*G49</f>
        <v>47120</v>
      </c>
      <c r="I49" s="808"/>
    </row>
    <row r="50" spans="1:9" ht="15" customHeight="1">
      <c r="A50" s="205">
        <v>6</v>
      </c>
      <c r="B50" s="775" t="s">
        <v>570</v>
      </c>
      <c r="C50" s="776"/>
      <c r="D50" s="209"/>
      <c r="E50" s="240"/>
      <c r="F50" s="240">
        <v>2</v>
      </c>
      <c r="G50" s="240">
        <v>5000</v>
      </c>
      <c r="H50" s="203">
        <f>F50*G50</f>
        <v>10000</v>
      </c>
      <c r="I50" s="44"/>
    </row>
    <row r="51" spans="1:9" ht="15" customHeight="1" hidden="1">
      <c r="A51" s="205"/>
      <c r="B51" s="244"/>
      <c r="C51" s="245"/>
      <c r="D51" s="209"/>
      <c r="E51" s="240"/>
      <c r="F51" s="240"/>
      <c r="G51" s="240"/>
      <c r="H51" s="203"/>
      <c r="I51" s="44"/>
    </row>
    <row r="52" spans="1:9" ht="15">
      <c r="A52" s="199"/>
      <c r="B52" s="809" t="s">
        <v>407</v>
      </c>
      <c r="C52" s="810"/>
      <c r="D52" s="811"/>
      <c r="E52" s="240"/>
      <c r="F52" s="240"/>
      <c r="G52" s="240"/>
      <c r="H52" s="203">
        <f>SUM(H44:H51)</f>
        <v>122700</v>
      </c>
      <c r="I52" s="210" t="s">
        <v>544</v>
      </c>
    </row>
    <row r="53" spans="2:8" ht="15.75">
      <c r="B53" s="812" t="s">
        <v>290</v>
      </c>
      <c r="C53" s="814"/>
      <c r="D53" s="211"/>
      <c r="E53" s="212"/>
      <c r="F53" s="816"/>
      <c r="G53" s="818" t="s">
        <v>564</v>
      </c>
      <c r="H53" s="52"/>
    </row>
    <row r="54" spans="2:8" ht="18.75">
      <c r="B54" s="813"/>
      <c r="C54" s="815"/>
      <c r="D54" s="213"/>
      <c r="E54" s="214"/>
      <c r="F54" s="817"/>
      <c r="G54" s="813"/>
      <c r="H54" s="258"/>
    </row>
    <row r="55" spans="2:8" ht="12.75">
      <c r="B55" s="134"/>
      <c r="C55" s="66"/>
      <c r="D55" s="66"/>
      <c r="E55" s="66"/>
      <c r="F55" s="66"/>
      <c r="G55" s="66"/>
      <c r="H55" s="210">
        <f>H19+H26+H31+H40+H52</f>
        <v>1084700</v>
      </c>
    </row>
    <row r="56" spans="2:8" ht="15.75">
      <c r="B56" s="216"/>
      <c r="C56" s="66"/>
      <c r="D56" s="66"/>
      <c r="E56" s="66"/>
      <c r="F56" s="66"/>
      <c r="G56" s="66"/>
      <c r="H56" s="210">
        <f>'244 ИЦ'!H55+'244 МЗ (3)'!F15+'244 МЗ (2)'!G31+'244 МЗ (2)'!G48+'244,247 МЗ'!G57+'244,247 МЗ'!G37+'244,247 МЗ'!G17+'290 МЗ'!G9+'290 МЗ'!G17+'НЧ ИЦ'!F16+'НЧ МЗ'!F18+'ПВ ИЦ'!H9+'ПВ МЗ'!F9+'ПВ МЗ'!F15+'ПВ МЗ'!G21+'ПВ МЗ'!G57+'ПВ МЗ'!F67+'ЗП ИЦ'!EA24+'ЗП МЗ'!J31</f>
        <v>37074445.010680005</v>
      </c>
    </row>
    <row r="57" spans="1:8" ht="31.5">
      <c r="A57" s="66"/>
      <c r="B57" s="217" t="s">
        <v>337</v>
      </c>
      <c r="C57" s="211"/>
      <c r="D57" s="211"/>
      <c r="E57" s="212" t="s">
        <v>500</v>
      </c>
      <c r="F57" s="212"/>
      <c r="G57" s="218" t="s">
        <v>500</v>
      </c>
      <c r="H57" s="210">
        <f>H55+'НЧ ИЦ'!F16+'ПВ ИЦ'!H8+'ЗП ИЦ'!EA24</f>
        <v>3368240.0034600003</v>
      </c>
    </row>
    <row r="58" spans="1:8" ht="18.75">
      <c r="A58" s="66"/>
      <c r="B58" s="219"/>
      <c r="C58" s="137"/>
      <c r="D58" s="136"/>
      <c r="E58" s="138"/>
      <c r="F58" s="138"/>
      <c r="G58" s="139"/>
      <c r="H58" s="44"/>
    </row>
    <row r="59" spans="1:7" ht="31.5">
      <c r="A59" s="66"/>
      <c r="B59" s="220" t="s">
        <v>196</v>
      </c>
      <c r="C59" s="158"/>
      <c r="D59" s="158"/>
      <c r="E59" s="221" t="s">
        <v>542</v>
      </c>
      <c r="F59" s="221"/>
      <c r="G59" s="218" t="s">
        <v>500</v>
      </c>
    </row>
    <row r="60" spans="1:7" ht="18.75">
      <c r="A60" s="66"/>
      <c r="B60" s="140"/>
      <c r="C60" s="137"/>
      <c r="D60" s="140"/>
      <c r="E60" s="139"/>
      <c r="F60" s="139"/>
      <c r="G60" s="139"/>
    </row>
    <row r="61" spans="1:7" ht="15.75">
      <c r="A61" s="66"/>
      <c r="B61" s="141" t="s">
        <v>497</v>
      </c>
      <c r="C61" s="136"/>
      <c r="D61" s="136"/>
      <c r="E61" s="164"/>
      <c r="F61" s="164"/>
      <c r="G61" s="136"/>
    </row>
    <row r="62" spans="1:7" ht="18.75">
      <c r="A62" s="66"/>
      <c r="C62" s="137"/>
      <c r="D62" s="136"/>
      <c r="E62" s="139"/>
      <c r="F62" s="139"/>
      <c r="G62" s="139"/>
    </row>
    <row r="63" ht="15.75">
      <c r="B63" s="141" t="s">
        <v>498</v>
      </c>
    </row>
    <row r="64" ht="15.75">
      <c r="B64" s="141"/>
    </row>
    <row r="65" ht="15.75">
      <c r="B65" s="141"/>
    </row>
    <row r="66" spans="2:7" ht="15.75">
      <c r="B66" s="142"/>
      <c r="C66" s="136"/>
      <c r="D66" s="136"/>
      <c r="E66" s="771"/>
      <c r="F66" s="771"/>
      <c r="G66" s="772"/>
    </row>
  </sheetData>
  <sheetProtection/>
  <mergeCells count="54">
    <mergeCell ref="E66:G66"/>
    <mergeCell ref="I48:I49"/>
    <mergeCell ref="B52:D52"/>
    <mergeCell ref="B53:B54"/>
    <mergeCell ref="C53:C54"/>
    <mergeCell ref="F53:F54"/>
    <mergeCell ref="G53:G54"/>
    <mergeCell ref="B50:C50"/>
    <mergeCell ref="B40:D40"/>
    <mergeCell ref="A41:H41"/>
    <mergeCell ref="B42:D42"/>
    <mergeCell ref="B43:D43"/>
    <mergeCell ref="B44:D44"/>
    <mergeCell ref="B47:C47"/>
    <mergeCell ref="B31:D31"/>
    <mergeCell ref="A32:H32"/>
    <mergeCell ref="B33:D33"/>
    <mergeCell ref="B34:D34"/>
    <mergeCell ref="B35:D35"/>
    <mergeCell ref="I36:I37"/>
    <mergeCell ref="A27:H27"/>
    <mergeCell ref="B28:D28"/>
    <mergeCell ref="B29:D29"/>
    <mergeCell ref="B30:E30"/>
    <mergeCell ref="B24:E24"/>
    <mergeCell ref="B26:D26"/>
    <mergeCell ref="B19:D19"/>
    <mergeCell ref="F19:G19"/>
    <mergeCell ref="A20:H20"/>
    <mergeCell ref="B21:D21"/>
    <mergeCell ref="B22:D22"/>
    <mergeCell ref="B23:E23"/>
    <mergeCell ref="B15:D15"/>
    <mergeCell ref="E15:E18"/>
    <mergeCell ref="F15:G15"/>
    <mergeCell ref="B16:D16"/>
    <mergeCell ref="F16:G16"/>
    <mergeCell ref="B17:D17"/>
    <mergeCell ref="F17:G17"/>
    <mergeCell ref="B18:D18"/>
    <mergeCell ref="F18:G18"/>
    <mergeCell ref="B9:D9"/>
    <mergeCell ref="B10:D10"/>
    <mergeCell ref="A12:H12"/>
    <mergeCell ref="B13:D13"/>
    <mergeCell ref="F13:G13"/>
    <mergeCell ref="B14:D14"/>
    <mergeCell ref="F14:G14"/>
    <mergeCell ref="A1:H1"/>
    <mergeCell ref="A3:H3"/>
    <mergeCell ref="A5:H5"/>
    <mergeCell ref="B6:D6"/>
    <mergeCell ref="B7:D7"/>
    <mergeCell ref="B8:D8"/>
  </mergeCell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view="pageBreakPreview" zoomScaleSheetLayoutView="100" zoomScalePageLayoutView="0" workbookViewId="0" topLeftCell="A1">
      <selection activeCell="A62" sqref="A62:BX62"/>
    </sheetView>
  </sheetViews>
  <sheetFormatPr defaultColWidth="2" defaultRowHeight="12.75"/>
  <cols>
    <col min="1" max="32" width="2" style="0" customWidth="1"/>
    <col min="33" max="33" width="2.66015625" style="0" customWidth="1"/>
  </cols>
  <sheetData>
    <row r="1" spans="1:76" ht="15.75" customHeight="1">
      <c r="A1" s="583" t="s">
        <v>210</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row>
    <row r="2" spans="1:76" ht="6" customHeight="1">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c r="A3" s="564" t="s">
        <v>165</v>
      </c>
      <c r="B3" s="564"/>
      <c r="C3" s="564"/>
      <c r="D3" s="565" t="s">
        <v>19</v>
      </c>
      <c r="E3" s="565"/>
      <c r="F3" s="565"/>
      <c r="G3" s="565"/>
      <c r="H3" s="565"/>
      <c r="I3" s="565"/>
      <c r="J3" s="565"/>
      <c r="K3" s="565"/>
      <c r="L3" s="565"/>
      <c r="M3" s="565"/>
      <c r="N3" s="565"/>
      <c r="O3" s="565"/>
      <c r="P3" s="565"/>
      <c r="Q3" s="565"/>
      <c r="R3" s="565"/>
      <c r="S3" s="565"/>
      <c r="T3" s="565"/>
      <c r="U3" s="565"/>
      <c r="V3" s="565"/>
      <c r="W3" s="565"/>
      <c r="X3" s="565"/>
      <c r="Y3" s="565"/>
      <c r="Z3" s="565"/>
      <c r="AA3" s="566"/>
      <c r="AB3" s="564" t="s">
        <v>167</v>
      </c>
      <c r="AC3" s="564"/>
      <c r="AD3" s="564"/>
      <c r="AE3" s="564"/>
      <c r="AF3" s="564" t="s">
        <v>166</v>
      </c>
      <c r="AG3" s="564"/>
      <c r="AH3" s="564"/>
      <c r="AI3" s="564"/>
      <c r="AJ3" s="511" t="s">
        <v>269</v>
      </c>
      <c r="AK3" s="512"/>
      <c r="AL3" s="512"/>
      <c r="AM3" s="512"/>
      <c r="AN3" s="512"/>
      <c r="AO3" s="512"/>
      <c r="AP3" s="513"/>
      <c r="AQ3" s="511" t="s">
        <v>270</v>
      </c>
      <c r="AR3" s="512"/>
      <c r="AS3" s="512"/>
      <c r="AT3" s="512"/>
      <c r="AU3" s="512"/>
      <c r="AV3" s="513"/>
      <c r="AW3" s="577" t="s">
        <v>21</v>
      </c>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row>
    <row r="4" spans="1:76" s="6" customFormat="1" ht="13.5" customHeight="1">
      <c r="A4" s="564"/>
      <c r="B4" s="564"/>
      <c r="C4" s="564"/>
      <c r="D4" s="567"/>
      <c r="E4" s="567"/>
      <c r="F4" s="567"/>
      <c r="G4" s="567"/>
      <c r="H4" s="567"/>
      <c r="I4" s="567"/>
      <c r="J4" s="567"/>
      <c r="K4" s="567"/>
      <c r="L4" s="567"/>
      <c r="M4" s="567"/>
      <c r="N4" s="567"/>
      <c r="O4" s="567"/>
      <c r="P4" s="567"/>
      <c r="Q4" s="567"/>
      <c r="R4" s="567"/>
      <c r="S4" s="567"/>
      <c r="T4" s="567"/>
      <c r="U4" s="567"/>
      <c r="V4" s="567"/>
      <c r="W4" s="567"/>
      <c r="X4" s="567"/>
      <c r="Y4" s="567"/>
      <c r="Z4" s="567"/>
      <c r="AA4" s="568"/>
      <c r="AB4" s="564"/>
      <c r="AC4" s="564"/>
      <c r="AD4" s="564"/>
      <c r="AE4" s="564"/>
      <c r="AF4" s="564"/>
      <c r="AG4" s="564"/>
      <c r="AH4" s="564"/>
      <c r="AI4" s="564"/>
      <c r="AJ4" s="514"/>
      <c r="AK4" s="515"/>
      <c r="AL4" s="515"/>
      <c r="AM4" s="515"/>
      <c r="AN4" s="515"/>
      <c r="AO4" s="515"/>
      <c r="AP4" s="516"/>
      <c r="AQ4" s="514"/>
      <c r="AR4" s="515"/>
      <c r="AS4" s="515"/>
      <c r="AT4" s="515"/>
      <c r="AU4" s="515"/>
      <c r="AV4" s="516"/>
      <c r="AW4" s="573" t="s">
        <v>22</v>
      </c>
      <c r="AX4" s="574"/>
      <c r="AY4" s="574"/>
      <c r="AZ4" s="575" t="s">
        <v>293</v>
      </c>
      <c r="BA4" s="576"/>
      <c r="BB4" s="579" t="s">
        <v>57</v>
      </c>
      <c r="BC4" s="580"/>
      <c r="BD4" s="585" t="s">
        <v>22</v>
      </c>
      <c r="BE4" s="585"/>
      <c r="BF4" s="585"/>
      <c r="BG4" s="586" t="s">
        <v>294</v>
      </c>
      <c r="BH4" s="587"/>
      <c r="BI4" s="572" t="s">
        <v>57</v>
      </c>
      <c r="BJ4" s="572"/>
      <c r="BK4" s="573" t="s">
        <v>22</v>
      </c>
      <c r="BL4" s="574"/>
      <c r="BM4" s="574"/>
      <c r="BN4" s="575" t="s">
        <v>295</v>
      </c>
      <c r="BO4" s="576"/>
      <c r="BP4" s="579" t="s">
        <v>57</v>
      </c>
      <c r="BQ4" s="580"/>
      <c r="BR4" s="515" t="s">
        <v>24</v>
      </c>
      <c r="BS4" s="515"/>
      <c r="BT4" s="515"/>
      <c r="BU4" s="515"/>
      <c r="BV4" s="515"/>
      <c r="BW4" s="515"/>
      <c r="BX4" s="515"/>
    </row>
    <row r="5" spans="1:76" s="6" customFormat="1" ht="38.25" customHeight="1">
      <c r="A5" s="564"/>
      <c r="B5" s="564"/>
      <c r="C5" s="564"/>
      <c r="D5" s="562"/>
      <c r="E5" s="562"/>
      <c r="F5" s="562"/>
      <c r="G5" s="562"/>
      <c r="H5" s="562"/>
      <c r="I5" s="562"/>
      <c r="J5" s="562"/>
      <c r="K5" s="562"/>
      <c r="L5" s="562"/>
      <c r="M5" s="562"/>
      <c r="N5" s="562"/>
      <c r="O5" s="562"/>
      <c r="P5" s="562"/>
      <c r="Q5" s="562"/>
      <c r="R5" s="562"/>
      <c r="S5" s="562"/>
      <c r="T5" s="562"/>
      <c r="U5" s="562"/>
      <c r="V5" s="562"/>
      <c r="W5" s="562"/>
      <c r="X5" s="562"/>
      <c r="Y5" s="562"/>
      <c r="Z5" s="562"/>
      <c r="AA5" s="563"/>
      <c r="AB5" s="564"/>
      <c r="AC5" s="564"/>
      <c r="AD5" s="564"/>
      <c r="AE5" s="564"/>
      <c r="AF5" s="564"/>
      <c r="AG5" s="564"/>
      <c r="AH5" s="564"/>
      <c r="AI5" s="564"/>
      <c r="AJ5" s="517"/>
      <c r="AK5" s="518"/>
      <c r="AL5" s="518"/>
      <c r="AM5" s="518"/>
      <c r="AN5" s="518"/>
      <c r="AO5" s="518"/>
      <c r="AP5" s="519"/>
      <c r="AQ5" s="517"/>
      <c r="AR5" s="518"/>
      <c r="AS5" s="518"/>
      <c r="AT5" s="518"/>
      <c r="AU5" s="518"/>
      <c r="AV5" s="519"/>
      <c r="AW5" s="517" t="s">
        <v>168</v>
      </c>
      <c r="AX5" s="562"/>
      <c r="AY5" s="562"/>
      <c r="AZ5" s="562"/>
      <c r="BA5" s="562"/>
      <c r="BB5" s="562"/>
      <c r="BC5" s="563"/>
      <c r="BD5" s="518" t="s">
        <v>169</v>
      </c>
      <c r="BE5" s="562"/>
      <c r="BF5" s="562"/>
      <c r="BG5" s="562"/>
      <c r="BH5" s="562"/>
      <c r="BI5" s="562"/>
      <c r="BJ5" s="562"/>
      <c r="BK5" s="517" t="s">
        <v>170</v>
      </c>
      <c r="BL5" s="562"/>
      <c r="BM5" s="562"/>
      <c r="BN5" s="562"/>
      <c r="BO5" s="562"/>
      <c r="BP5" s="562"/>
      <c r="BQ5" s="563"/>
      <c r="BR5" s="518"/>
      <c r="BS5" s="518"/>
      <c r="BT5" s="518"/>
      <c r="BU5" s="518"/>
      <c r="BV5" s="518"/>
      <c r="BW5" s="518"/>
      <c r="BX5" s="518"/>
    </row>
    <row r="6" spans="1:76" s="6" customFormat="1" ht="12.75" customHeight="1" thickBot="1">
      <c r="A6" s="478">
        <v>1</v>
      </c>
      <c r="B6" s="478"/>
      <c r="C6" s="478"/>
      <c r="D6" s="584">
        <v>2</v>
      </c>
      <c r="E6" s="471"/>
      <c r="F6" s="471"/>
      <c r="G6" s="471"/>
      <c r="H6" s="471"/>
      <c r="I6" s="471"/>
      <c r="J6" s="471"/>
      <c r="K6" s="471"/>
      <c r="L6" s="471"/>
      <c r="M6" s="471"/>
      <c r="N6" s="471"/>
      <c r="O6" s="471"/>
      <c r="P6" s="471"/>
      <c r="Q6" s="471"/>
      <c r="R6" s="471"/>
      <c r="S6" s="471"/>
      <c r="T6" s="471"/>
      <c r="U6" s="471"/>
      <c r="V6" s="471"/>
      <c r="W6" s="471"/>
      <c r="X6" s="471"/>
      <c r="Y6" s="471"/>
      <c r="Z6" s="471"/>
      <c r="AA6" s="471"/>
      <c r="AB6" s="478">
        <v>3</v>
      </c>
      <c r="AC6" s="478"/>
      <c r="AD6" s="478"/>
      <c r="AE6" s="478"/>
      <c r="AF6" s="478">
        <v>4</v>
      </c>
      <c r="AG6" s="478"/>
      <c r="AH6" s="478"/>
      <c r="AI6" s="478"/>
      <c r="AJ6" s="569" t="s">
        <v>238</v>
      </c>
      <c r="AK6" s="570"/>
      <c r="AL6" s="570"/>
      <c r="AM6" s="570"/>
      <c r="AN6" s="570"/>
      <c r="AO6" s="570"/>
      <c r="AP6" s="571"/>
      <c r="AQ6" s="569" t="s">
        <v>268</v>
      </c>
      <c r="AR6" s="570"/>
      <c r="AS6" s="570"/>
      <c r="AT6" s="570"/>
      <c r="AU6" s="570"/>
      <c r="AV6" s="571"/>
      <c r="AW6" s="478">
        <v>5</v>
      </c>
      <c r="AX6" s="478"/>
      <c r="AY6" s="478"/>
      <c r="AZ6" s="478"/>
      <c r="BA6" s="478"/>
      <c r="BB6" s="478"/>
      <c r="BC6" s="478"/>
      <c r="BD6" s="478">
        <v>6</v>
      </c>
      <c r="BE6" s="478"/>
      <c r="BF6" s="478"/>
      <c r="BG6" s="478"/>
      <c r="BH6" s="478"/>
      <c r="BI6" s="478"/>
      <c r="BJ6" s="478"/>
      <c r="BK6" s="478">
        <v>7</v>
      </c>
      <c r="BL6" s="478"/>
      <c r="BM6" s="478"/>
      <c r="BN6" s="478"/>
      <c r="BO6" s="478"/>
      <c r="BP6" s="478"/>
      <c r="BQ6" s="478"/>
      <c r="BR6" s="478">
        <v>8</v>
      </c>
      <c r="BS6" s="478"/>
      <c r="BT6" s="478"/>
      <c r="BU6" s="478"/>
      <c r="BV6" s="478"/>
      <c r="BW6" s="478"/>
      <c r="BX6" s="553"/>
    </row>
    <row r="7" spans="1:76" s="6" customFormat="1" ht="12.75" customHeight="1">
      <c r="A7" s="554">
        <v>1</v>
      </c>
      <c r="B7" s="554"/>
      <c r="C7" s="554"/>
      <c r="D7" s="555" t="s">
        <v>271</v>
      </c>
      <c r="E7" s="556"/>
      <c r="F7" s="556"/>
      <c r="G7" s="556"/>
      <c r="H7" s="556"/>
      <c r="I7" s="556"/>
      <c r="J7" s="556"/>
      <c r="K7" s="556"/>
      <c r="L7" s="556"/>
      <c r="M7" s="556"/>
      <c r="N7" s="556"/>
      <c r="O7" s="556"/>
      <c r="P7" s="556"/>
      <c r="Q7" s="556"/>
      <c r="R7" s="556"/>
      <c r="S7" s="556"/>
      <c r="T7" s="556"/>
      <c r="U7" s="556"/>
      <c r="V7" s="556"/>
      <c r="W7" s="556"/>
      <c r="X7" s="556"/>
      <c r="Y7" s="556"/>
      <c r="Z7" s="556"/>
      <c r="AA7" s="556"/>
      <c r="AB7" s="557">
        <v>26000</v>
      </c>
      <c r="AC7" s="558"/>
      <c r="AD7" s="558"/>
      <c r="AE7" s="558"/>
      <c r="AF7" s="559" t="s">
        <v>34</v>
      </c>
      <c r="AG7" s="559"/>
      <c r="AH7" s="559"/>
      <c r="AI7" s="559"/>
      <c r="AJ7" s="498"/>
      <c r="AK7" s="499"/>
      <c r="AL7" s="499"/>
      <c r="AM7" s="499"/>
      <c r="AN7" s="499"/>
      <c r="AO7" s="499"/>
      <c r="AP7" s="500"/>
      <c r="AQ7" s="501"/>
      <c r="AR7" s="502"/>
      <c r="AS7" s="502"/>
      <c r="AT7" s="502"/>
      <c r="AU7" s="502"/>
      <c r="AV7" s="503"/>
      <c r="AW7" s="560">
        <f>Раздел1!AW85</f>
        <v>5505935.0024</v>
      </c>
      <c r="AX7" s="560"/>
      <c r="AY7" s="560"/>
      <c r="AZ7" s="560"/>
      <c r="BA7" s="560"/>
      <c r="BB7" s="560"/>
      <c r="BC7" s="560"/>
      <c r="BD7" s="560">
        <f>Раздел1!BD85</f>
        <v>908700</v>
      </c>
      <c r="BE7" s="560"/>
      <c r="BF7" s="560"/>
      <c r="BG7" s="560"/>
      <c r="BH7" s="560"/>
      <c r="BI7" s="560"/>
      <c r="BJ7" s="560"/>
      <c r="BK7" s="560">
        <f>Раздел1!BK85</f>
        <v>743700</v>
      </c>
      <c r="BL7" s="560"/>
      <c r="BM7" s="560"/>
      <c r="BN7" s="560"/>
      <c r="BO7" s="560"/>
      <c r="BP7" s="560"/>
      <c r="BQ7" s="560"/>
      <c r="BR7" s="560"/>
      <c r="BS7" s="560"/>
      <c r="BT7" s="560"/>
      <c r="BU7" s="560"/>
      <c r="BV7" s="560"/>
      <c r="BW7" s="560"/>
      <c r="BX7" s="561"/>
    </row>
    <row r="8" spans="1:76" s="6" customFormat="1" ht="156.75" customHeight="1">
      <c r="A8" s="478" t="s">
        <v>171</v>
      </c>
      <c r="B8" s="478"/>
      <c r="C8" s="478"/>
      <c r="D8" s="550" t="s">
        <v>277</v>
      </c>
      <c r="E8" s="551"/>
      <c r="F8" s="551"/>
      <c r="G8" s="551"/>
      <c r="H8" s="551"/>
      <c r="I8" s="551"/>
      <c r="J8" s="551"/>
      <c r="K8" s="551"/>
      <c r="L8" s="551"/>
      <c r="M8" s="551"/>
      <c r="N8" s="551"/>
      <c r="O8" s="551"/>
      <c r="P8" s="551"/>
      <c r="Q8" s="551"/>
      <c r="R8" s="551"/>
      <c r="S8" s="551"/>
      <c r="T8" s="551"/>
      <c r="U8" s="551"/>
      <c r="V8" s="551"/>
      <c r="W8" s="551"/>
      <c r="X8" s="551"/>
      <c r="Y8" s="551"/>
      <c r="Z8" s="551"/>
      <c r="AA8" s="552"/>
      <c r="AB8" s="470">
        <v>26100</v>
      </c>
      <c r="AC8" s="471"/>
      <c r="AD8" s="471"/>
      <c r="AE8" s="471"/>
      <c r="AF8" s="471" t="s">
        <v>34</v>
      </c>
      <c r="AG8" s="471"/>
      <c r="AH8" s="471"/>
      <c r="AI8" s="471"/>
      <c r="AJ8" s="472"/>
      <c r="AK8" s="473"/>
      <c r="AL8" s="473"/>
      <c r="AM8" s="473"/>
      <c r="AN8" s="473"/>
      <c r="AO8" s="473"/>
      <c r="AP8" s="474"/>
      <c r="AQ8" s="472"/>
      <c r="AR8" s="473"/>
      <c r="AS8" s="473"/>
      <c r="AT8" s="473"/>
      <c r="AU8" s="473"/>
      <c r="AV8" s="474"/>
      <c r="AW8" s="461"/>
      <c r="AX8" s="461"/>
      <c r="AY8" s="461"/>
      <c r="AZ8" s="461"/>
      <c r="BA8" s="461"/>
      <c r="BB8" s="461"/>
      <c r="BC8" s="461"/>
      <c r="BD8" s="461"/>
      <c r="BE8" s="461"/>
      <c r="BF8" s="461"/>
      <c r="BG8" s="461"/>
      <c r="BH8" s="461"/>
      <c r="BI8" s="461"/>
      <c r="BJ8" s="461"/>
      <c r="BK8" s="461"/>
      <c r="BL8" s="461"/>
      <c r="BM8" s="461"/>
      <c r="BN8" s="461"/>
      <c r="BO8" s="461"/>
      <c r="BP8" s="461"/>
      <c r="BQ8" s="461"/>
      <c r="BR8" s="461"/>
      <c r="BS8" s="461"/>
      <c r="BT8" s="461"/>
      <c r="BU8" s="461"/>
      <c r="BV8" s="461"/>
      <c r="BW8" s="461"/>
      <c r="BX8" s="462"/>
    </row>
    <row r="9" spans="1:76" s="31" customFormat="1" ht="45.75" customHeight="1">
      <c r="A9" s="478" t="s">
        <v>172</v>
      </c>
      <c r="B9" s="478"/>
      <c r="C9" s="478"/>
      <c r="D9" s="509" t="s">
        <v>278</v>
      </c>
      <c r="E9" s="510"/>
      <c r="F9" s="510"/>
      <c r="G9" s="510"/>
      <c r="H9" s="510"/>
      <c r="I9" s="510"/>
      <c r="J9" s="510"/>
      <c r="K9" s="510"/>
      <c r="L9" s="510"/>
      <c r="M9" s="510"/>
      <c r="N9" s="510"/>
      <c r="O9" s="510"/>
      <c r="P9" s="510"/>
      <c r="Q9" s="510"/>
      <c r="R9" s="510"/>
      <c r="S9" s="510"/>
      <c r="T9" s="510"/>
      <c r="U9" s="510"/>
      <c r="V9" s="510"/>
      <c r="W9" s="510"/>
      <c r="X9" s="510"/>
      <c r="Y9" s="510"/>
      <c r="Z9" s="510"/>
      <c r="AA9" s="510"/>
      <c r="AB9" s="470">
        <v>26200</v>
      </c>
      <c r="AC9" s="471"/>
      <c r="AD9" s="471"/>
      <c r="AE9" s="471"/>
      <c r="AF9" s="471" t="s">
        <v>34</v>
      </c>
      <c r="AG9" s="471"/>
      <c r="AH9" s="471"/>
      <c r="AI9" s="471"/>
      <c r="AJ9" s="472"/>
      <c r="AK9" s="473"/>
      <c r="AL9" s="473"/>
      <c r="AM9" s="473"/>
      <c r="AN9" s="473"/>
      <c r="AO9" s="473"/>
      <c r="AP9" s="474"/>
      <c r="AQ9" s="472"/>
      <c r="AR9" s="473"/>
      <c r="AS9" s="473"/>
      <c r="AT9" s="473"/>
      <c r="AU9" s="473"/>
      <c r="AV9" s="474"/>
      <c r="AW9" s="461"/>
      <c r="AX9" s="461"/>
      <c r="AY9" s="461"/>
      <c r="AZ9" s="461"/>
      <c r="BA9" s="461"/>
      <c r="BB9" s="461"/>
      <c r="BC9" s="461"/>
      <c r="BD9" s="461"/>
      <c r="BE9" s="461"/>
      <c r="BF9" s="461"/>
      <c r="BG9" s="461"/>
      <c r="BH9" s="461"/>
      <c r="BI9" s="461"/>
      <c r="BJ9" s="461"/>
      <c r="BK9" s="461"/>
      <c r="BL9" s="461"/>
      <c r="BM9" s="461"/>
      <c r="BN9" s="461"/>
      <c r="BO9" s="461"/>
      <c r="BP9" s="461"/>
      <c r="BQ9" s="461"/>
      <c r="BR9" s="461"/>
      <c r="BS9" s="461"/>
      <c r="BT9" s="461"/>
      <c r="BU9" s="461"/>
      <c r="BV9" s="461"/>
      <c r="BW9" s="461"/>
      <c r="BX9" s="462"/>
    </row>
    <row r="10" spans="1:76" s="31" customFormat="1" ht="45.75" customHeight="1">
      <c r="A10" s="467" t="s">
        <v>173</v>
      </c>
      <c r="B10" s="467"/>
      <c r="C10" s="467"/>
      <c r="D10" s="509" t="s">
        <v>279</v>
      </c>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470">
        <v>26300</v>
      </c>
      <c r="AC10" s="471"/>
      <c r="AD10" s="471"/>
      <c r="AE10" s="471"/>
      <c r="AF10" s="471" t="s">
        <v>34</v>
      </c>
      <c r="AG10" s="471"/>
      <c r="AH10" s="471"/>
      <c r="AI10" s="471"/>
      <c r="AJ10" s="472"/>
      <c r="AK10" s="473"/>
      <c r="AL10" s="473"/>
      <c r="AM10" s="473"/>
      <c r="AN10" s="473"/>
      <c r="AO10" s="473"/>
      <c r="AP10" s="474"/>
      <c r="AQ10" s="472"/>
      <c r="AR10" s="473"/>
      <c r="AS10" s="473"/>
      <c r="AT10" s="473"/>
      <c r="AU10" s="473"/>
      <c r="AV10" s="474"/>
      <c r="AW10" s="461">
        <v>211254.13</v>
      </c>
      <c r="AX10" s="461"/>
      <c r="AY10" s="461"/>
      <c r="AZ10" s="461"/>
      <c r="BA10" s="461"/>
      <c r="BB10" s="461"/>
      <c r="BC10" s="461"/>
      <c r="BD10" s="461"/>
      <c r="BE10" s="461"/>
      <c r="BF10" s="461"/>
      <c r="BG10" s="461"/>
      <c r="BH10" s="461"/>
      <c r="BI10" s="461"/>
      <c r="BJ10" s="461"/>
      <c r="BK10" s="461"/>
      <c r="BL10" s="461"/>
      <c r="BM10" s="461"/>
      <c r="BN10" s="461"/>
      <c r="BO10" s="461"/>
      <c r="BP10" s="461"/>
      <c r="BQ10" s="461"/>
      <c r="BR10" s="461"/>
      <c r="BS10" s="461"/>
      <c r="BT10" s="461"/>
      <c r="BU10" s="461"/>
      <c r="BV10" s="461"/>
      <c r="BW10" s="461"/>
      <c r="BX10" s="462"/>
    </row>
    <row r="11" spans="1:76" s="6" customFormat="1" ht="22.5" customHeight="1">
      <c r="A11" s="467" t="s">
        <v>239</v>
      </c>
      <c r="B11" s="467"/>
      <c r="C11" s="467"/>
      <c r="D11" s="509" t="s">
        <v>252</v>
      </c>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470">
        <v>26310</v>
      </c>
      <c r="AC11" s="471"/>
      <c r="AD11" s="471"/>
      <c r="AE11" s="471"/>
      <c r="AF11" s="471" t="s">
        <v>34</v>
      </c>
      <c r="AG11" s="471"/>
      <c r="AH11" s="471"/>
      <c r="AI11" s="471"/>
      <c r="AJ11" s="472" t="s">
        <v>34</v>
      </c>
      <c r="AK11" s="473"/>
      <c r="AL11" s="473"/>
      <c r="AM11" s="473"/>
      <c r="AN11" s="473"/>
      <c r="AO11" s="473"/>
      <c r="AP11" s="474"/>
      <c r="AQ11" s="472"/>
      <c r="AR11" s="473"/>
      <c r="AS11" s="473"/>
      <c r="AT11" s="473"/>
      <c r="AU11" s="473"/>
      <c r="AV11" s="474"/>
      <c r="AW11" s="461">
        <f>AW10</f>
        <v>211254.13</v>
      </c>
      <c r="AX11" s="461"/>
      <c r="AY11" s="461"/>
      <c r="AZ11" s="461"/>
      <c r="BA11" s="461"/>
      <c r="BB11" s="461"/>
      <c r="BC11" s="461"/>
      <c r="BD11" s="461"/>
      <c r="BE11" s="461"/>
      <c r="BF11" s="461"/>
      <c r="BG11" s="461"/>
      <c r="BH11" s="461"/>
      <c r="BI11" s="461"/>
      <c r="BJ11" s="461"/>
      <c r="BK11" s="461"/>
      <c r="BL11" s="461"/>
      <c r="BM11" s="461"/>
      <c r="BN11" s="461"/>
      <c r="BO11" s="461"/>
      <c r="BP11" s="461"/>
      <c r="BQ11" s="461"/>
      <c r="BR11" s="461"/>
      <c r="BS11" s="461"/>
      <c r="BT11" s="461"/>
      <c r="BU11" s="461"/>
      <c r="BV11" s="461"/>
      <c r="BW11" s="461"/>
      <c r="BX11" s="462"/>
    </row>
    <row r="12" spans="1:76" s="6" customFormat="1" ht="13.5" customHeight="1" hidden="1">
      <c r="A12" s="467"/>
      <c r="B12" s="467"/>
      <c r="C12" s="467"/>
      <c r="D12" s="493" t="s">
        <v>272</v>
      </c>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77"/>
      <c r="AC12" s="478"/>
      <c r="AD12" s="478"/>
      <c r="AE12" s="478"/>
      <c r="AF12" s="478"/>
      <c r="AG12" s="478"/>
      <c r="AH12" s="478"/>
      <c r="AI12" s="478"/>
      <c r="AJ12" s="495"/>
      <c r="AK12" s="496"/>
      <c r="AL12" s="496"/>
      <c r="AM12" s="496"/>
      <c r="AN12" s="496"/>
      <c r="AO12" s="496"/>
      <c r="AP12" s="497"/>
      <c r="AQ12" s="495"/>
      <c r="AR12" s="496"/>
      <c r="AS12" s="496"/>
      <c r="AT12" s="496"/>
      <c r="AU12" s="496"/>
      <c r="AV12" s="497"/>
      <c r="AW12" s="465"/>
      <c r="AX12" s="465"/>
      <c r="AY12" s="465"/>
      <c r="AZ12" s="465"/>
      <c r="BA12" s="465"/>
      <c r="BB12" s="465"/>
      <c r="BC12" s="465"/>
      <c r="BD12" s="465"/>
      <c r="BE12" s="465"/>
      <c r="BF12" s="465"/>
      <c r="BG12" s="465"/>
      <c r="BH12" s="465"/>
      <c r="BI12" s="465"/>
      <c r="BJ12" s="465"/>
      <c r="BK12" s="465"/>
      <c r="BL12" s="465"/>
      <c r="BM12" s="465"/>
      <c r="BN12" s="465"/>
      <c r="BO12" s="465"/>
      <c r="BP12" s="465"/>
      <c r="BQ12" s="465"/>
      <c r="BR12" s="465"/>
      <c r="BS12" s="465"/>
      <c r="BT12" s="465"/>
      <c r="BU12" s="465"/>
      <c r="BV12" s="465"/>
      <c r="BW12" s="465"/>
      <c r="BX12" s="466"/>
    </row>
    <row r="13" spans="1:76" s="6" customFormat="1" ht="12.75" customHeight="1" hidden="1">
      <c r="A13" s="479"/>
      <c r="B13" s="479"/>
      <c r="C13" s="479"/>
      <c r="D13" s="480"/>
      <c r="E13" s="481"/>
      <c r="F13" s="481"/>
      <c r="G13" s="481"/>
      <c r="H13" s="481"/>
      <c r="I13" s="481"/>
      <c r="J13" s="481"/>
      <c r="K13" s="481"/>
      <c r="L13" s="481"/>
      <c r="M13" s="481"/>
      <c r="N13" s="481"/>
      <c r="O13" s="481"/>
      <c r="P13" s="481"/>
      <c r="Q13" s="481"/>
      <c r="R13" s="481"/>
      <c r="S13" s="481"/>
      <c r="T13" s="481"/>
      <c r="U13" s="481"/>
      <c r="V13" s="481"/>
      <c r="W13" s="481"/>
      <c r="X13" s="481"/>
      <c r="Y13" s="481"/>
      <c r="Z13" s="481"/>
      <c r="AA13" s="481"/>
      <c r="AB13" s="482" t="s">
        <v>240</v>
      </c>
      <c r="AC13" s="483"/>
      <c r="AD13" s="483"/>
      <c r="AE13" s="483"/>
      <c r="AF13" s="483"/>
      <c r="AG13" s="483"/>
      <c r="AH13" s="483"/>
      <c r="AI13" s="483"/>
      <c r="AJ13" s="484"/>
      <c r="AK13" s="485"/>
      <c r="AL13" s="485"/>
      <c r="AM13" s="485"/>
      <c r="AN13" s="485"/>
      <c r="AO13" s="485"/>
      <c r="AP13" s="486"/>
      <c r="AQ13" s="484"/>
      <c r="AR13" s="485"/>
      <c r="AS13" s="485"/>
      <c r="AT13" s="485"/>
      <c r="AU13" s="485"/>
      <c r="AV13" s="486"/>
      <c r="AW13" s="475"/>
      <c r="AX13" s="475"/>
      <c r="AY13" s="475"/>
      <c r="AZ13" s="475"/>
      <c r="BA13" s="475"/>
      <c r="BB13" s="475"/>
      <c r="BC13" s="475"/>
      <c r="BD13" s="475"/>
      <c r="BE13" s="475"/>
      <c r="BF13" s="475"/>
      <c r="BG13" s="475"/>
      <c r="BH13" s="475"/>
      <c r="BI13" s="475"/>
      <c r="BJ13" s="475"/>
      <c r="BK13" s="475"/>
      <c r="BL13" s="475"/>
      <c r="BM13" s="475"/>
      <c r="BN13" s="475"/>
      <c r="BO13" s="475"/>
      <c r="BP13" s="475"/>
      <c r="BQ13" s="475"/>
      <c r="BR13" s="475"/>
      <c r="BS13" s="475"/>
      <c r="BT13" s="475"/>
      <c r="BU13" s="475"/>
      <c r="BV13" s="475"/>
      <c r="BW13" s="475"/>
      <c r="BX13" s="476"/>
    </row>
    <row r="14" spans="1:76" s="6" customFormat="1" ht="12.75" customHeight="1" hidden="1">
      <c r="A14" s="467"/>
      <c r="B14" s="467"/>
      <c r="C14" s="467"/>
      <c r="D14" s="493" t="s">
        <v>284</v>
      </c>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77"/>
      <c r="AC14" s="478"/>
      <c r="AD14" s="478"/>
      <c r="AE14" s="478"/>
      <c r="AF14" s="478"/>
      <c r="AG14" s="478"/>
      <c r="AH14" s="478"/>
      <c r="AI14" s="478"/>
      <c r="AJ14" s="495"/>
      <c r="AK14" s="496"/>
      <c r="AL14" s="496"/>
      <c r="AM14" s="496"/>
      <c r="AN14" s="496"/>
      <c r="AO14" s="496"/>
      <c r="AP14" s="497"/>
      <c r="AQ14" s="495"/>
      <c r="AR14" s="496"/>
      <c r="AS14" s="496"/>
      <c r="AT14" s="496"/>
      <c r="AU14" s="496"/>
      <c r="AV14" s="497"/>
      <c r="AW14" s="465"/>
      <c r="AX14" s="465"/>
      <c r="AY14" s="465"/>
      <c r="AZ14" s="465"/>
      <c r="BA14" s="465"/>
      <c r="BB14" s="465"/>
      <c r="BC14" s="465"/>
      <c r="BD14" s="465"/>
      <c r="BE14" s="465"/>
      <c r="BF14" s="465"/>
      <c r="BG14" s="465"/>
      <c r="BH14" s="465"/>
      <c r="BI14" s="465"/>
      <c r="BJ14" s="465"/>
      <c r="BK14" s="465"/>
      <c r="BL14" s="465"/>
      <c r="BM14" s="465"/>
      <c r="BN14" s="465"/>
      <c r="BO14" s="465"/>
      <c r="BP14" s="465"/>
      <c r="BQ14" s="465"/>
      <c r="BR14" s="465"/>
      <c r="BS14" s="465"/>
      <c r="BT14" s="465"/>
      <c r="BU14" s="465"/>
      <c r="BV14" s="465"/>
      <c r="BW14" s="465"/>
      <c r="BX14" s="466"/>
    </row>
    <row r="15" spans="1:76" s="6" customFormat="1" ht="12.75" customHeight="1" hidden="1">
      <c r="A15" s="479"/>
      <c r="B15" s="479"/>
      <c r="C15" s="479"/>
      <c r="D15" s="480"/>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2" t="s">
        <v>285</v>
      </c>
      <c r="AC15" s="483"/>
      <c r="AD15" s="483"/>
      <c r="AE15" s="483"/>
      <c r="AF15" s="483"/>
      <c r="AG15" s="483"/>
      <c r="AH15" s="483"/>
      <c r="AI15" s="483"/>
      <c r="AJ15" s="484"/>
      <c r="AK15" s="485"/>
      <c r="AL15" s="485"/>
      <c r="AM15" s="485"/>
      <c r="AN15" s="485"/>
      <c r="AO15" s="485"/>
      <c r="AP15" s="486"/>
      <c r="AQ15" s="484"/>
      <c r="AR15" s="485"/>
      <c r="AS15" s="485"/>
      <c r="AT15" s="485"/>
      <c r="AU15" s="485"/>
      <c r="AV15" s="486"/>
      <c r="AW15" s="475"/>
      <c r="AX15" s="475"/>
      <c r="AY15" s="475"/>
      <c r="AZ15" s="475"/>
      <c r="BA15" s="475"/>
      <c r="BB15" s="475"/>
      <c r="BC15" s="475"/>
      <c r="BD15" s="475"/>
      <c r="BE15" s="475"/>
      <c r="BF15" s="475"/>
      <c r="BG15" s="475"/>
      <c r="BH15" s="475"/>
      <c r="BI15" s="475"/>
      <c r="BJ15" s="475"/>
      <c r="BK15" s="475"/>
      <c r="BL15" s="475"/>
      <c r="BM15" s="475"/>
      <c r="BN15" s="475"/>
      <c r="BO15" s="475"/>
      <c r="BP15" s="475"/>
      <c r="BQ15" s="475"/>
      <c r="BR15" s="475"/>
      <c r="BS15" s="475"/>
      <c r="BT15" s="475"/>
      <c r="BU15" s="475"/>
      <c r="BV15" s="475"/>
      <c r="BW15" s="475"/>
      <c r="BX15" s="476"/>
    </row>
    <row r="16" spans="1:76" s="6" customFormat="1" ht="12.75" customHeight="1">
      <c r="A16" s="506" t="s">
        <v>241</v>
      </c>
      <c r="B16" s="506"/>
      <c r="C16" s="506"/>
      <c r="D16" s="509" t="s">
        <v>191</v>
      </c>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470">
        <v>26320</v>
      </c>
      <c r="AC16" s="471"/>
      <c r="AD16" s="471"/>
      <c r="AE16" s="471"/>
      <c r="AF16" s="471" t="s">
        <v>34</v>
      </c>
      <c r="AG16" s="471"/>
      <c r="AH16" s="471"/>
      <c r="AI16" s="471"/>
      <c r="AJ16" s="472" t="s">
        <v>34</v>
      </c>
      <c r="AK16" s="473"/>
      <c r="AL16" s="473"/>
      <c r="AM16" s="473"/>
      <c r="AN16" s="473"/>
      <c r="AO16" s="473"/>
      <c r="AP16" s="474"/>
      <c r="AQ16" s="472"/>
      <c r="AR16" s="473"/>
      <c r="AS16" s="473"/>
      <c r="AT16" s="473"/>
      <c r="AU16" s="473"/>
      <c r="AV16" s="474"/>
      <c r="AW16" s="461"/>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2"/>
    </row>
    <row r="17" spans="1:76" s="6" customFormat="1" ht="45.75" customHeight="1">
      <c r="A17" s="506" t="s">
        <v>174</v>
      </c>
      <c r="B17" s="506"/>
      <c r="C17" s="506"/>
      <c r="D17" s="549" t="s">
        <v>280</v>
      </c>
      <c r="E17" s="549"/>
      <c r="F17" s="549"/>
      <c r="G17" s="549"/>
      <c r="H17" s="549"/>
      <c r="I17" s="549"/>
      <c r="J17" s="549"/>
      <c r="K17" s="549"/>
      <c r="L17" s="549"/>
      <c r="M17" s="549"/>
      <c r="N17" s="549"/>
      <c r="O17" s="549"/>
      <c r="P17" s="549"/>
      <c r="Q17" s="549"/>
      <c r="R17" s="549"/>
      <c r="S17" s="549"/>
      <c r="T17" s="549"/>
      <c r="U17" s="549"/>
      <c r="V17" s="549"/>
      <c r="W17" s="549"/>
      <c r="X17" s="549"/>
      <c r="Y17" s="549"/>
      <c r="Z17" s="549"/>
      <c r="AA17" s="509"/>
      <c r="AB17" s="470">
        <v>26400</v>
      </c>
      <c r="AC17" s="471"/>
      <c r="AD17" s="471"/>
      <c r="AE17" s="471"/>
      <c r="AF17" s="471" t="s">
        <v>34</v>
      </c>
      <c r="AG17" s="471"/>
      <c r="AH17" s="471"/>
      <c r="AI17" s="471"/>
      <c r="AJ17" s="472"/>
      <c r="AK17" s="473"/>
      <c r="AL17" s="473"/>
      <c r="AM17" s="473"/>
      <c r="AN17" s="473"/>
      <c r="AO17" s="473"/>
      <c r="AP17" s="474"/>
      <c r="AQ17" s="472"/>
      <c r="AR17" s="473"/>
      <c r="AS17" s="473"/>
      <c r="AT17" s="473"/>
      <c r="AU17" s="473"/>
      <c r="AV17" s="474"/>
      <c r="AW17" s="461">
        <f>AW7-AW10</f>
        <v>5294680.8724</v>
      </c>
      <c r="AX17" s="461"/>
      <c r="AY17" s="461"/>
      <c r="AZ17" s="461"/>
      <c r="BA17" s="461"/>
      <c r="BB17" s="461"/>
      <c r="BC17" s="461"/>
      <c r="BD17" s="461">
        <f>BD7-BD10</f>
        <v>908700</v>
      </c>
      <c r="BE17" s="461"/>
      <c r="BF17" s="461"/>
      <c r="BG17" s="461"/>
      <c r="BH17" s="461"/>
      <c r="BI17" s="461"/>
      <c r="BJ17" s="461"/>
      <c r="BK17" s="461">
        <f>BK7-BK10</f>
        <v>743700</v>
      </c>
      <c r="BL17" s="461"/>
      <c r="BM17" s="461"/>
      <c r="BN17" s="461"/>
      <c r="BO17" s="461"/>
      <c r="BP17" s="461"/>
      <c r="BQ17" s="461"/>
      <c r="BR17" s="461"/>
      <c r="BS17" s="461"/>
      <c r="BT17" s="461"/>
      <c r="BU17" s="461"/>
      <c r="BV17" s="461"/>
      <c r="BW17" s="461"/>
      <c r="BX17" s="462"/>
    </row>
    <row r="18" spans="1:76" s="6" customFormat="1" ht="45.75" customHeight="1">
      <c r="A18" s="478" t="s">
        <v>175</v>
      </c>
      <c r="B18" s="478"/>
      <c r="C18" s="478"/>
      <c r="D18" s="541" t="s">
        <v>281</v>
      </c>
      <c r="E18" s="547"/>
      <c r="F18" s="547"/>
      <c r="G18" s="547"/>
      <c r="H18" s="547"/>
      <c r="I18" s="547"/>
      <c r="J18" s="547"/>
      <c r="K18" s="547"/>
      <c r="L18" s="547"/>
      <c r="M18" s="547"/>
      <c r="N18" s="547"/>
      <c r="O18" s="547"/>
      <c r="P18" s="547"/>
      <c r="Q18" s="547"/>
      <c r="R18" s="547"/>
      <c r="S18" s="547"/>
      <c r="T18" s="547"/>
      <c r="U18" s="547"/>
      <c r="V18" s="547"/>
      <c r="W18" s="547"/>
      <c r="X18" s="547"/>
      <c r="Y18" s="547"/>
      <c r="Z18" s="547"/>
      <c r="AA18" s="548"/>
      <c r="AB18" s="470">
        <v>26410</v>
      </c>
      <c r="AC18" s="471"/>
      <c r="AD18" s="471"/>
      <c r="AE18" s="471"/>
      <c r="AF18" s="471" t="s">
        <v>34</v>
      </c>
      <c r="AG18" s="471"/>
      <c r="AH18" s="471"/>
      <c r="AI18" s="471"/>
      <c r="AJ18" s="472"/>
      <c r="AK18" s="473"/>
      <c r="AL18" s="473"/>
      <c r="AM18" s="473"/>
      <c r="AN18" s="473"/>
      <c r="AO18" s="473"/>
      <c r="AP18" s="474"/>
      <c r="AQ18" s="472"/>
      <c r="AR18" s="473"/>
      <c r="AS18" s="473"/>
      <c r="AT18" s="473"/>
      <c r="AU18" s="473"/>
      <c r="AV18" s="474"/>
      <c r="AW18" s="461">
        <f>AW17-AW21</f>
        <v>4209980.8724</v>
      </c>
      <c r="AX18" s="461"/>
      <c r="AY18" s="461"/>
      <c r="AZ18" s="461"/>
      <c r="BA18" s="461"/>
      <c r="BB18" s="461"/>
      <c r="BC18" s="461"/>
      <c r="BD18" s="461">
        <f>BD17-BD21</f>
        <v>0</v>
      </c>
      <c r="BE18" s="461"/>
      <c r="BF18" s="461"/>
      <c r="BG18" s="461"/>
      <c r="BH18" s="461"/>
      <c r="BI18" s="461"/>
      <c r="BJ18" s="461"/>
      <c r="BK18" s="461">
        <f>BK17-BK21</f>
        <v>0</v>
      </c>
      <c r="BL18" s="461"/>
      <c r="BM18" s="461"/>
      <c r="BN18" s="461"/>
      <c r="BO18" s="461"/>
      <c r="BP18" s="461"/>
      <c r="BQ18" s="461"/>
      <c r="BR18" s="461"/>
      <c r="BS18" s="461"/>
      <c r="BT18" s="461"/>
      <c r="BU18" s="461"/>
      <c r="BV18" s="461"/>
      <c r="BW18" s="461"/>
      <c r="BX18" s="462"/>
    </row>
    <row r="19" spans="1:76" s="6" customFormat="1" ht="22.5" customHeight="1">
      <c r="A19" s="478" t="s">
        <v>176</v>
      </c>
      <c r="B19" s="478"/>
      <c r="C19" s="478"/>
      <c r="D19" s="544" t="s">
        <v>190</v>
      </c>
      <c r="E19" s="534"/>
      <c r="F19" s="534"/>
      <c r="G19" s="534"/>
      <c r="H19" s="534"/>
      <c r="I19" s="534"/>
      <c r="J19" s="534"/>
      <c r="K19" s="534"/>
      <c r="L19" s="534"/>
      <c r="M19" s="534"/>
      <c r="N19" s="534"/>
      <c r="O19" s="534"/>
      <c r="P19" s="534"/>
      <c r="Q19" s="534"/>
      <c r="R19" s="534"/>
      <c r="S19" s="534"/>
      <c r="T19" s="534"/>
      <c r="U19" s="534"/>
      <c r="V19" s="534"/>
      <c r="W19" s="534"/>
      <c r="X19" s="534"/>
      <c r="Y19" s="534"/>
      <c r="Z19" s="534"/>
      <c r="AA19" s="535"/>
      <c r="AB19" s="470">
        <v>26411</v>
      </c>
      <c r="AC19" s="471"/>
      <c r="AD19" s="471"/>
      <c r="AE19" s="471"/>
      <c r="AF19" s="471" t="s">
        <v>34</v>
      </c>
      <c r="AG19" s="471"/>
      <c r="AH19" s="471"/>
      <c r="AI19" s="471"/>
      <c r="AJ19" s="472"/>
      <c r="AK19" s="473"/>
      <c r="AL19" s="473"/>
      <c r="AM19" s="473"/>
      <c r="AN19" s="473"/>
      <c r="AO19" s="473"/>
      <c r="AP19" s="474"/>
      <c r="AQ19" s="472"/>
      <c r="AR19" s="473"/>
      <c r="AS19" s="473"/>
      <c r="AT19" s="473"/>
      <c r="AU19" s="473"/>
      <c r="AV19" s="474"/>
      <c r="AW19" s="461">
        <f>AW18</f>
        <v>4209980.8724</v>
      </c>
      <c r="AX19" s="461"/>
      <c r="AY19" s="461"/>
      <c r="AZ19" s="461"/>
      <c r="BA19" s="461"/>
      <c r="BB19" s="461"/>
      <c r="BC19" s="461"/>
      <c r="BD19" s="461">
        <f>BD18</f>
        <v>0</v>
      </c>
      <c r="BE19" s="461"/>
      <c r="BF19" s="461"/>
      <c r="BG19" s="461"/>
      <c r="BH19" s="461"/>
      <c r="BI19" s="461"/>
      <c r="BJ19" s="461"/>
      <c r="BK19" s="461">
        <f>BK18</f>
        <v>0</v>
      </c>
      <c r="BL19" s="461"/>
      <c r="BM19" s="461"/>
      <c r="BN19" s="461"/>
      <c r="BO19" s="461"/>
      <c r="BP19" s="461"/>
      <c r="BQ19" s="461"/>
      <c r="BR19" s="461"/>
      <c r="BS19" s="461"/>
      <c r="BT19" s="461"/>
      <c r="BU19" s="461"/>
      <c r="BV19" s="461"/>
      <c r="BW19" s="461"/>
      <c r="BX19" s="462"/>
    </row>
    <row r="20" spans="1:76" s="6" customFormat="1" ht="12.75" customHeight="1">
      <c r="A20" s="478" t="s">
        <v>177</v>
      </c>
      <c r="B20" s="478"/>
      <c r="C20" s="478"/>
      <c r="D20" s="533" t="s">
        <v>273</v>
      </c>
      <c r="E20" s="534"/>
      <c r="F20" s="534"/>
      <c r="G20" s="534"/>
      <c r="H20" s="534"/>
      <c r="I20" s="534"/>
      <c r="J20" s="534"/>
      <c r="K20" s="534"/>
      <c r="L20" s="534"/>
      <c r="M20" s="534"/>
      <c r="N20" s="534"/>
      <c r="O20" s="534"/>
      <c r="P20" s="534"/>
      <c r="Q20" s="534"/>
      <c r="R20" s="534"/>
      <c r="S20" s="534"/>
      <c r="T20" s="534"/>
      <c r="U20" s="534"/>
      <c r="V20" s="534"/>
      <c r="W20" s="534"/>
      <c r="X20" s="534"/>
      <c r="Y20" s="534"/>
      <c r="Z20" s="534"/>
      <c r="AA20" s="535"/>
      <c r="AB20" s="470">
        <v>26412</v>
      </c>
      <c r="AC20" s="471"/>
      <c r="AD20" s="471"/>
      <c r="AE20" s="471"/>
      <c r="AF20" s="471" t="s">
        <v>34</v>
      </c>
      <c r="AG20" s="471"/>
      <c r="AH20" s="471"/>
      <c r="AI20" s="471"/>
      <c r="AJ20" s="472"/>
      <c r="AK20" s="473"/>
      <c r="AL20" s="473"/>
      <c r="AM20" s="473"/>
      <c r="AN20" s="473"/>
      <c r="AO20" s="473"/>
      <c r="AP20" s="474"/>
      <c r="AQ20" s="472"/>
      <c r="AR20" s="473"/>
      <c r="AS20" s="473"/>
      <c r="AT20" s="473"/>
      <c r="AU20" s="473"/>
      <c r="AV20" s="474"/>
      <c r="AW20" s="461"/>
      <c r="AX20" s="461"/>
      <c r="AY20" s="461"/>
      <c r="AZ20" s="461"/>
      <c r="BA20" s="461"/>
      <c r="BB20" s="461"/>
      <c r="BC20" s="461"/>
      <c r="BD20" s="461"/>
      <c r="BE20" s="461"/>
      <c r="BF20" s="461"/>
      <c r="BG20" s="461"/>
      <c r="BH20" s="461"/>
      <c r="BI20" s="461"/>
      <c r="BJ20" s="461"/>
      <c r="BK20" s="461"/>
      <c r="BL20" s="461"/>
      <c r="BM20" s="461"/>
      <c r="BN20" s="461"/>
      <c r="BO20" s="461"/>
      <c r="BP20" s="461"/>
      <c r="BQ20" s="461"/>
      <c r="BR20" s="461"/>
      <c r="BS20" s="461"/>
      <c r="BT20" s="461"/>
      <c r="BU20" s="461"/>
      <c r="BV20" s="461"/>
      <c r="BW20" s="461"/>
      <c r="BX20" s="462"/>
    </row>
    <row r="21" spans="1:76" s="6" customFormat="1" ht="34.5" customHeight="1">
      <c r="A21" s="478" t="s">
        <v>178</v>
      </c>
      <c r="B21" s="478"/>
      <c r="C21" s="478"/>
      <c r="D21" s="541" t="s">
        <v>283</v>
      </c>
      <c r="E21" s="542"/>
      <c r="F21" s="542"/>
      <c r="G21" s="542"/>
      <c r="H21" s="542"/>
      <c r="I21" s="542"/>
      <c r="J21" s="542"/>
      <c r="K21" s="542"/>
      <c r="L21" s="542"/>
      <c r="M21" s="542"/>
      <c r="N21" s="542"/>
      <c r="O21" s="542"/>
      <c r="P21" s="542"/>
      <c r="Q21" s="542"/>
      <c r="R21" s="542"/>
      <c r="S21" s="542"/>
      <c r="T21" s="542"/>
      <c r="U21" s="542"/>
      <c r="V21" s="542"/>
      <c r="W21" s="542"/>
      <c r="X21" s="542"/>
      <c r="Y21" s="542"/>
      <c r="Z21" s="542"/>
      <c r="AA21" s="543"/>
      <c r="AB21" s="470">
        <v>26420</v>
      </c>
      <c r="AC21" s="471"/>
      <c r="AD21" s="471"/>
      <c r="AE21" s="471"/>
      <c r="AF21" s="471" t="s">
        <v>34</v>
      </c>
      <c r="AG21" s="471"/>
      <c r="AH21" s="471"/>
      <c r="AI21" s="471"/>
      <c r="AJ21" s="472"/>
      <c r="AK21" s="473"/>
      <c r="AL21" s="473"/>
      <c r="AM21" s="473"/>
      <c r="AN21" s="473"/>
      <c r="AO21" s="473"/>
      <c r="AP21" s="474"/>
      <c r="AQ21" s="472"/>
      <c r="AR21" s="473"/>
      <c r="AS21" s="473"/>
      <c r="AT21" s="473"/>
      <c r="AU21" s="473"/>
      <c r="AV21" s="474"/>
      <c r="AW21" s="461">
        <f>'244 ИЦ'!H55</f>
        <v>1084700</v>
      </c>
      <c r="AX21" s="461"/>
      <c r="AY21" s="461"/>
      <c r="AZ21" s="461"/>
      <c r="BA21" s="461"/>
      <c r="BB21" s="461"/>
      <c r="BC21" s="461"/>
      <c r="BD21" s="461">
        <v>908700</v>
      </c>
      <c r="BE21" s="461"/>
      <c r="BF21" s="461"/>
      <c r="BG21" s="461"/>
      <c r="BH21" s="461"/>
      <c r="BI21" s="461"/>
      <c r="BJ21" s="461"/>
      <c r="BK21" s="461">
        <v>743700</v>
      </c>
      <c r="BL21" s="461"/>
      <c r="BM21" s="461"/>
      <c r="BN21" s="461"/>
      <c r="BO21" s="461"/>
      <c r="BP21" s="461"/>
      <c r="BQ21" s="461"/>
      <c r="BR21" s="461"/>
      <c r="BS21" s="461"/>
      <c r="BT21" s="461"/>
      <c r="BU21" s="461"/>
      <c r="BV21" s="461"/>
      <c r="BW21" s="461"/>
      <c r="BX21" s="462"/>
    </row>
    <row r="22" spans="1:76" s="6" customFormat="1" ht="22.5" customHeight="1">
      <c r="A22" s="471" t="s">
        <v>179</v>
      </c>
      <c r="B22" s="471"/>
      <c r="C22" s="471"/>
      <c r="D22" s="546" t="s">
        <v>190</v>
      </c>
      <c r="E22" s="534"/>
      <c r="F22" s="534"/>
      <c r="G22" s="534"/>
      <c r="H22" s="534"/>
      <c r="I22" s="534"/>
      <c r="J22" s="534"/>
      <c r="K22" s="534"/>
      <c r="L22" s="534"/>
      <c r="M22" s="534"/>
      <c r="N22" s="534"/>
      <c r="O22" s="534"/>
      <c r="P22" s="534"/>
      <c r="Q22" s="534"/>
      <c r="R22" s="534"/>
      <c r="S22" s="534"/>
      <c r="T22" s="534"/>
      <c r="U22" s="534"/>
      <c r="V22" s="534"/>
      <c r="W22" s="534"/>
      <c r="X22" s="534"/>
      <c r="Y22" s="534"/>
      <c r="Z22" s="534"/>
      <c r="AA22" s="535"/>
      <c r="AB22" s="470">
        <v>26421</v>
      </c>
      <c r="AC22" s="471"/>
      <c r="AD22" s="471"/>
      <c r="AE22" s="471"/>
      <c r="AF22" s="471" t="s">
        <v>34</v>
      </c>
      <c r="AG22" s="471"/>
      <c r="AH22" s="471"/>
      <c r="AI22" s="471"/>
      <c r="AJ22" s="472"/>
      <c r="AK22" s="473"/>
      <c r="AL22" s="473"/>
      <c r="AM22" s="473"/>
      <c r="AN22" s="473"/>
      <c r="AO22" s="473"/>
      <c r="AP22" s="474"/>
      <c r="AQ22" s="472"/>
      <c r="AR22" s="473"/>
      <c r="AS22" s="473"/>
      <c r="AT22" s="473"/>
      <c r="AU22" s="473"/>
      <c r="AV22" s="474"/>
      <c r="AW22" s="461">
        <f>AW21</f>
        <v>1084700</v>
      </c>
      <c r="AX22" s="461"/>
      <c r="AY22" s="461"/>
      <c r="AZ22" s="461"/>
      <c r="BA22" s="461"/>
      <c r="BB22" s="461"/>
      <c r="BC22" s="461"/>
      <c r="BD22" s="461">
        <f>BD21</f>
        <v>908700</v>
      </c>
      <c r="BE22" s="461"/>
      <c r="BF22" s="461"/>
      <c r="BG22" s="461"/>
      <c r="BH22" s="461"/>
      <c r="BI22" s="461"/>
      <c r="BJ22" s="461"/>
      <c r="BK22" s="461">
        <f>BK21</f>
        <v>743700</v>
      </c>
      <c r="BL22" s="461"/>
      <c r="BM22" s="461"/>
      <c r="BN22" s="461"/>
      <c r="BO22" s="461"/>
      <c r="BP22" s="461"/>
      <c r="BQ22" s="461"/>
      <c r="BR22" s="461"/>
      <c r="BS22" s="461"/>
      <c r="BT22" s="461"/>
      <c r="BU22" s="461"/>
      <c r="BV22" s="461"/>
      <c r="BW22" s="461"/>
      <c r="BX22" s="462"/>
    </row>
    <row r="23" spans="1:76" s="6" customFormat="1" ht="22.5" customHeight="1">
      <c r="A23" s="506"/>
      <c r="B23" s="506"/>
      <c r="C23" s="506"/>
      <c r="D23" s="507" t="s">
        <v>274</v>
      </c>
      <c r="E23" s="507"/>
      <c r="F23" s="507"/>
      <c r="G23" s="507"/>
      <c r="H23" s="507"/>
      <c r="I23" s="507"/>
      <c r="J23" s="507"/>
      <c r="K23" s="507"/>
      <c r="L23" s="507"/>
      <c r="M23" s="507"/>
      <c r="N23" s="507"/>
      <c r="O23" s="507"/>
      <c r="P23" s="507"/>
      <c r="Q23" s="507"/>
      <c r="R23" s="507"/>
      <c r="S23" s="507"/>
      <c r="T23" s="507"/>
      <c r="U23" s="507"/>
      <c r="V23" s="507"/>
      <c r="W23" s="507"/>
      <c r="X23" s="507"/>
      <c r="Y23" s="507"/>
      <c r="Z23" s="507"/>
      <c r="AA23" s="508"/>
      <c r="AB23" s="470" t="s">
        <v>242</v>
      </c>
      <c r="AC23" s="471"/>
      <c r="AD23" s="471"/>
      <c r="AE23" s="471"/>
      <c r="AF23" s="471" t="s">
        <v>34</v>
      </c>
      <c r="AG23" s="471"/>
      <c r="AH23" s="471"/>
      <c r="AI23" s="471"/>
      <c r="AJ23" s="472"/>
      <c r="AK23" s="473"/>
      <c r="AL23" s="473"/>
      <c r="AM23" s="473"/>
      <c r="AN23" s="473"/>
      <c r="AO23" s="473"/>
      <c r="AP23" s="474"/>
      <c r="AQ23" s="472"/>
      <c r="AR23" s="473"/>
      <c r="AS23" s="473"/>
      <c r="AT23" s="473"/>
      <c r="AU23" s="473"/>
      <c r="AV23" s="474"/>
      <c r="AW23" s="461"/>
      <c r="AX23" s="461"/>
      <c r="AY23" s="461"/>
      <c r="AZ23" s="461"/>
      <c r="BA23" s="461"/>
      <c r="BB23" s="461"/>
      <c r="BC23" s="461"/>
      <c r="BD23" s="461"/>
      <c r="BE23" s="461"/>
      <c r="BF23" s="461"/>
      <c r="BG23" s="461"/>
      <c r="BH23" s="461"/>
      <c r="BI23" s="461"/>
      <c r="BJ23" s="461"/>
      <c r="BK23" s="461"/>
      <c r="BL23" s="461"/>
      <c r="BM23" s="461"/>
      <c r="BN23" s="461"/>
      <c r="BO23" s="461"/>
      <c r="BP23" s="461"/>
      <c r="BQ23" s="461"/>
      <c r="BR23" s="461"/>
      <c r="BS23" s="461"/>
      <c r="BT23" s="461"/>
      <c r="BU23" s="461"/>
      <c r="BV23" s="461"/>
      <c r="BW23" s="461"/>
      <c r="BX23" s="462"/>
    </row>
    <row r="24" spans="1:76" s="6" customFormat="1" ht="12.75" customHeight="1">
      <c r="A24" s="471" t="s">
        <v>180</v>
      </c>
      <c r="B24" s="471"/>
      <c r="C24" s="471"/>
      <c r="D24" s="534" t="s">
        <v>273</v>
      </c>
      <c r="E24" s="534"/>
      <c r="F24" s="534"/>
      <c r="G24" s="534"/>
      <c r="H24" s="534"/>
      <c r="I24" s="534"/>
      <c r="J24" s="534"/>
      <c r="K24" s="534"/>
      <c r="L24" s="534"/>
      <c r="M24" s="534"/>
      <c r="N24" s="534"/>
      <c r="O24" s="534"/>
      <c r="P24" s="534"/>
      <c r="Q24" s="534"/>
      <c r="R24" s="534"/>
      <c r="S24" s="534"/>
      <c r="T24" s="534"/>
      <c r="U24" s="534"/>
      <c r="V24" s="534"/>
      <c r="W24" s="534"/>
      <c r="X24" s="534"/>
      <c r="Y24" s="534"/>
      <c r="Z24" s="534"/>
      <c r="AA24" s="535"/>
      <c r="AB24" s="470">
        <v>26422</v>
      </c>
      <c r="AC24" s="471"/>
      <c r="AD24" s="471"/>
      <c r="AE24" s="471"/>
      <c r="AF24" s="471" t="s">
        <v>34</v>
      </c>
      <c r="AG24" s="471"/>
      <c r="AH24" s="471"/>
      <c r="AI24" s="471"/>
      <c r="AJ24" s="472"/>
      <c r="AK24" s="473"/>
      <c r="AL24" s="473"/>
      <c r="AM24" s="473"/>
      <c r="AN24" s="473"/>
      <c r="AO24" s="473"/>
      <c r="AP24" s="474"/>
      <c r="AQ24" s="472"/>
      <c r="AR24" s="473"/>
      <c r="AS24" s="473"/>
      <c r="AT24" s="473"/>
      <c r="AU24" s="473"/>
      <c r="AV24" s="474"/>
      <c r="AW24" s="461"/>
      <c r="AX24" s="461"/>
      <c r="AY24" s="461"/>
      <c r="AZ24" s="461"/>
      <c r="BA24" s="461"/>
      <c r="BB24" s="461"/>
      <c r="BC24" s="461"/>
      <c r="BD24" s="461"/>
      <c r="BE24" s="461"/>
      <c r="BF24" s="461"/>
      <c r="BG24" s="461"/>
      <c r="BH24" s="461"/>
      <c r="BI24" s="461"/>
      <c r="BJ24" s="461"/>
      <c r="BK24" s="461"/>
      <c r="BL24" s="461"/>
      <c r="BM24" s="461"/>
      <c r="BN24" s="461"/>
      <c r="BO24" s="461"/>
      <c r="BP24" s="461"/>
      <c r="BQ24" s="461"/>
      <c r="BR24" s="461"/>
      <c r="BS24" s="461"/>
      <c r="BT24" s="461"/>
      <c r="BU24" s="461"/>
      <c r="BV24" s="461"/>
      <c r="BW24" s="461"/>
      <c r="BX24" s="462"/>
    </row>
    <row r="25" spans="1:76" s="6" customFormat="1" ht="22.5" customHeight="1" hidden="1">
      <c r="A25" s="478" t="s">
        <v>181</v>
      </c>
      <c r="B25" s="478"/>
      <c r="C25" s="478"/>
      <c r="D25" s="543" t="s">
        <v>275</v>
      </c>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470">
        <v>26430</v>
      </c>
      <c r="AC25" s="471"/>
      <c r="AD25" s="471"/>
      <c r="AE25" s="471"/>
      <c r="AF25" s="471" t="s">
        <v>34</v>
      </c>
      <c r="AG25" s="471"/>
      <c r="AH25" s="471"/>
      <c r="AI25" s="471"/>
      <c r="AJ25" s="472"/>
      <c r="AK25" s="473"/>
      <c r="AL25" s="473"/>
      <c r="AM25" s="473"/>
      <c r="AN25" s="473"/>
      <c r="AO25" s="473"/>
      <c r="AP25" s="474"/>
      <c r="AQ25" s="472"/>
      <c r="AR25" s="473"/>
      <c r="AS25" s="473"/>
      <c r="AT25" s="473"/>
      <c r="AU25" s="473"/>
      <c r="AV25" s="474"/>
      <c r="AW25" s="461"/>
      <c r="AX25" s="461"/>
      <c r="AY25" s="461"/>
      <c r="AZ25" s="461"/>
      <c r="BA25" s="461"/>
      <c r="BB25" s="461"/>
      <c r="BC25" s="461"/>
      <c r="BD25" s="465"/>
      <c r="BE25" s="465"/>
      <c r="BF25" s="465"/>
      <c r="BG25" s="465"/>
      <c r="BH25" s="465"/>
      <c r="BI25" s="465"/>
      <c r="BJ25" s="465"/>
      <c r="BK25" s="465"/>
      <c r="BL25" s="465"/>
      <c r="BM25" s="465"/>
      <c r="BN25" s="465"/>
      <c r="BO25" s="465"/>
      <c r="BP25" s="465"/>
      <c r="BQ25" s="465"/>
      <c r="BR25" s="465"/>
      <c r="BS25" s="465"/>
      <c r="BT25" s="465"/>
      <c r="BU25" s="465"/>
      <c r="BV25" s="465"/>
      <c r="BW25" s="465"/>
      <c r="BX25" s="466"/>
    </row>
    <row r="26" spans="1:76" s="6" customFormat="1" ht="22.5" customHeight="1" hidden="1">
      <c r="A26" s="467"/>
      <c r="B26" s="467"/>
      <c r="C26" s="467"/>
      <c r="D26" s="468" t="s">
        <v>274</v>
      </c>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77" t="s">
        <v>243</v>
      </c>
      <c r="AC26" s="478"/>
      <c r="AD26" s="478"/>
      <c r="AE26" s="478"/>
      <c r="AF26" s="478" t="s">
        <v>34</v>
      </c>
      <c r="AG26" s="478"/>
      <c r="AH26" s="478"/>
      <c r="AI26" s="478"/>
      <c r="AJ26" s="472"/>
      <c r="AK26" s="473"/>
      <c r="AL26" s="473"/>
      <c r="AM26" s="473"/>
      <c r="AN26" s="473"/>
      <c r="AO26" s="473"/>
      <c r="AP26" s="474"/>
      <c r="AQ26" s="472"/>
      <c r="AR26" s="473"/>
      <c r="AS26" s="473"/>
      <c r="AT26" s="473"/>
      <c r="AU26" s="473"/>
      <c r="AV26" s="474"/>
      <c r="AW26" s="465"/>
      <c r="AX26" s="465"/>
      <c r="AY26" s="465"/>
      <c r="AZ26" s="465"/>
      <c r="BA26" s="465"/>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6"/>
    </row>
    <row r="27" spans="1:76" s="6" customFormat="1" ht="22.5" customHeight="1" hidden="1">
      <c r="A27" s="467"/>
      <c r="B27" s="467"/>
      <c r="C27" s="467"/>
      <c r="D27" s="468" t="s">
        <v>286</v>
      </c>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77" t="s">
        <v>287</v>
      </c>
      <c r="AC27" s="478"/>
      <c r="AD27" s="478"/>
      <c r="AE27" s="478"/>
      <c r="AF27" s="478" t="s">
        <v>34</v>
      </c>
      <c r="AG27" s="478"/>
      <c r="AH27" s="478"/>
      <c r="AI27" s="478"/>
      <c r="AJ27" s="472"/>
      <c r="AK27" s="473"/>
      <c r="AL27" s="473"/>
      <c r="AM27" s="473"/>
      <c r="AN27" s="473"/>
      <c r="AO27" s="473"/>
      <c r="AP27" s="474"/>
      <c r="AQ27" s="472"/>
      <c r="AR27" s="473"/>
      <c r="AS27" s="473"/>
      <c r="AT27" s="473"/>
      <c r="AU27" s="473"/>
      <c r="AV27" s="474"/>
      <c r="AW27" s="465"/>
      <c r="AX27" s="465"/>
      <c r="AY27" s="465"/>
      <c r="AZ27" s="465"/>
      <c r="BA27" s="465"/>
      <c r="BB27" s="465"/>
      <c r="BC27" s="465"/>
      <c r="BD27" s="465"/>
      <c r="BE27" s="465"/>
      <c r="BF27" s="465"/>
      <c r="BG27" s="465"/>
      <c r="BH27" s="465"/>
      <c r="BI27" s="465"/>
      <c r="BJ27" s="465"/>
      <c r="BK27" s="465"/>
      <c r="BL27" s="465"/>
      <c r="BM27" s="465"/>
      <c r="BN27" s="465"/>
      <c r="BO27" s="465"/>
      <c r="BP27" s="465"/>
      <c r="BQ27" s="465"/>
      <c r="BR27" s="465"/>
      <c r="BS27" s="465"/>
      <c r="BT27" s="465"/>
      <c r="BU27" s="465"/>
      <c r="BV27" s="465"/>
      <c r="BW27" s="465"/>
      <c r="BX27" s="466"/>
    </row>
    <row r="28" spans="1:76" s="6" customFormat="1" ht="22.5" customHeight="1" hidden="1">
      <c r="A28" s="478" t="s">
        <v>182</v>
      </c>
      <c r="B28" s="478"/>
      <c r="C28" s="478"/>
      <c r="D28" s="541" t="s">
        <v>282</v>
      </c>
      <c r="E28" s="542"/>
      <c r="F28" s="542"/>
      <c r="G28" s="542"/>
      <c r="H28" s="542"/>
      <c r="I28" s="542"/>
      <c r="J28" s="542"/>
      <c r="K28" s="542"/>
      <c r="L28" s="542"/>
      <c r="M28" s="542"/>
      <c r="N28" s="542"/>
      <c r="O28" s="542"/>
      <c r="P28" s="542"/>
      <c r="Q28" s="542"/>
      <c r="R28" s="542"/>
      <c r="S28" s="542"/>
      <c r="T28" s="542"/>
      <c r="U28" s="542"/>
      <c r="V28" s="542"/>
      <c r="W28" s="542"/>
      <c r="X28" s="542"/>
      <c r="Y28" s="542"/>
      <c r="Z28" s="542"/>
      <c r="AA28" s="543"/>
      <c r="AB28" s="470">
        <v>26440</v>
      </c>
      <c r="AC28" s="471"/>
      <c r="AD28" s="471"/>
      <c r="AE28" s="471"/>
      <c r="AF28" s="471" t="s">
        <v>34</v>
      </c>
      <c r="AG28" s="471"/>
      <c r="AH28" s="471"/>
      <c r="AI28" s="471"/>
      <c r="AJ28" s="472"/>
      <c r="AK28" s="473"/>
      <c r="AL28" s="473"/>
      <c r="AM28" s="473"/>
      <c r="AN28" s="473"/>
      <c r="AO28" s="473"/>
      <c r="AP28" s="474"/>
      <c r="AQ28" s="472"/>
      <c r="AR28" s="473"/>
      <c r="AS28" s="473"/>
      <c r="AT28" s="473"/>
      <c r="AU28" s="473"/>
      <c r="AV28" s="474"/>
      <c r="AW28" s="461"/>
      <c r="AX28" s="461"/>
      <c r="AY28" s="461"/>
      <c r="AZ28" s="461"/>
      <c r="BA28" s="461"/>
      <c r="BB28" s="461"/>
      <c r="BC28" s="461"/>
      <c r="BD28" s="465"/>
      <c r="BE28" s="465"/>
      <c r="BF28" s="465"/>
      <c r="BG28" s="465"/>
      <c r="BH28" s="465"/>
      <c r="BI28" s="465"/>
      <c r="BJ28" s="465"/>
      <c r="BK28" s="465"/>
      <c r="BL28" s="465"/>
      <c r="BM28" s="465"/>
      <c r="BN28" s="465"/>
      <c r="BO28" s="465"/>
      <c r="BP28" s="465"/>
      <c r="BQ28" s="465"/>
      <c r="BR28" s="465"/>
      <c r="BS28" s="465"/>
      <c r="BT28" s="465"/>
      <c r="BU28" s="465"/>
      <c r="BV28" s="465"/>
      <c r="BW28" s="465"/>
      <c r="BX28" s="466"/>
    </row>
    <row r="29" spans="1:76" s="6" customFormat="1" ht="22.5" customHeight="1" hidden="1">
      <c r="A29" s="478" t="s">
        <v>183</v>
      </c>
      <c r="B29" s="478"/>
      <c r="C29" s="478"/>
      <c r="D29" s="544" t="s">
        <v>190</v>
      </c>
      <c r="E29" s="534"/>
      <c r="F29" s="534"/>
      <c r="G29" s="534"/>
      <c r="H29" s="534"/>
      <c r="I29" s="534"/>
      <c r="J29" s="534"/>
      <c r="K29" s="534"/>
      <c r="L29" s="534"/>
      <c r="M29" s="534"/>
      <c r="N29" s="534"/>
      <c r="O29" s="534"/>
      <c r="P29" s="534"/>
      <c r="Q29" s="534"/>
      <c r="R29" s="534"/>
      <c r="S29" s="534"/>
      <c r="T29" s="534"/>
      <c r="U29" s="534"/>
      <c r="V29" s="534"/>
      <c r="W29" s="534"/>
      <c r="X29" s="534"/>
      <c r="Y29" s="534"/>
      <c r="Z29" s="534"/>
      <c r="AA29" s="535"/>
      <c r="AB29" s="470">
        <v>26441</v>
      </c>
      <c r="AC29" s="471"/>
      <c r="AD29" s="471"/>
      <c r="AE29" s="471"/>
      <c r="AF29" s="471" t="s">
        <v>34</v>
      </c>
      <c r="AG29" s="471"/>
      <c r="AH29" s="471"/>
      <c r="AI29" s="471"/>
      <c r="AJ29" s="472"/>
      <c r="AK29" s="473"/>
      <c r="AL29" s="473"/>
      <c r="AM29" s="473"/>
      <c r="AN29" s="473"/>
      <c r="AO29" s="473"/>
      <c r="AP29" s="474"/>
      <c r="AQ29" s="472"/>
      <c r="AR29" s="473"/>
      <c r="AS29" s="473"/>
      <c r="AT29" s="473"/>
      <c r="AU29" s="473"/>
      <c r="AV29" s="474"/>
      <c r="AW29" s="461"/>
      <c r="AX29" s="461"/>
      <c r="AY29" s="461"/>
      <c r="AZ29" s="461"/>
      <c r="BA29" s="461"/>
      <c r="BB29" s="461"/>
      <c r="BC29" s="461"/>
      <c r="BD29" s="465"/>
      <c r="BE29" s="465"/>
      <c r="BF29" s="465"/>
      <c r="BG29" s="465"/>
      <c r="BH29" s="465"/>
      <c r="BI29" s="465"/>
      <c r="BJ29" s="465"/>
      <c r="BK29" s="465"/>
      <c r="BL29" s="465"/>
      <c r="BM29" s="465"/>
      <c r="BN29" s="465"/>
      <c r="BO29" s="465"/>
      <c r="BP29" s="465"/>
      <c r="BQ29" s="465"/>
      <c r="BR29" s="465"/>
      <c r="BS29" s="465"/>
      <c r="BT29" s="465"/>
      <c r="BU29" s="465"/>
      <c r="BV29" s="465"/>
      <c r="BW29" s="465"/>
      <c r="BX29" s="466"/>
    </row>
    <row r="30" spans="1:76" s="6" customFormat="1" ht="12.75" customHeight="1" hidden="1">
      <c r="A30" s="478" t="s">
        <v>184</v>
      </c>
      <c r="B30" s="478"/>
      <c r="C30" s="478"/>
      <c r="D30" s="533" t="s">
        <v>273</v>
      </c>
      <c r="E30" s="534"/>
      <c r="F30" s="534"/>
      <c r="G30" s="534"/>
      <c r="H30" s="534"/>
      <c r="I30" s="534"/>
      <c r="J30" s="534"/>
      <c r="K30" s="534"/>
      <c r="L30" s="534"/>
      <c r="M30" s="534"/>
      <c r="N30" s="534"/>
      <c r="O30" s="534"/>
      <c r="P30" s="534"/>
      <c r="Q30" s="534"/>
      <c r="R30" s="534"/>
      <c r="S30" s="534"/>
      <c r="T30" s="534"/>
      <c r="U30" s="534"/>
      <c r="V30" s="534"/>
      <c r="W30" s="534"/>
      <c r="X30" s="534"/>
      <c r="Y30" s="534"/>
      <c r="Z30" s="534"/>
      <c r="AA30" s="535"/>
      <c r="AB30" s="470">
        <v>26442</v>
      </c>
      <c r="AC30" s="471"/>
      <c r="AD30" s="471"/>
      <c r="AE30" s="471"/>
      <c r="AF30" s="471" t="s">
        <v>34</v>
      </c>
      <c r="AG30" s="471"/>
      <c r="AH30" s="471"/>
      <c r="AI30" s="471"/>
      <c r="AJ30" s="472"/>
      <c r="AK30" s="473"/>
      <c r="AL30" s="473"/>
      <c r="AM30" s="473"/>
      <c r="AN30" s="473"/>
      <c r="AO30" s="473"/>
      <c r="AP30" s="474"/>
      <c r="AQ30" s="472"/>
      <c r="AR30" s="473"/>
      <c r="AS30" s="473"/>
      <c r="AT30" s="473"/>
      <c r="AU30" s="473"/>
      <c r="AV30" s="474"/>
      <c r="AW30" s="461"/>
      <c r="AX30" s="461"/>
      <c r="AY30" s="461"/>
      <c r="AZ30" s="461"/>
      <c r="BA30" s="461"/>
      <c r="BB30" s="461"/>
      <c r="BC30" s="461"/>
      <c r="BD30" s="465"/>
      <c r="BE30" s="465"/>
      <c r="BF30" s="465"/>
      <c r="BG30" s="465"/>
      <c r="BH30" s="465"/>
      <c r="BI30" s="465"/>
      <c r="BJ30" s="465"/>
      <c r="BK30" s="465"/>
      <c r="BL30" s="465"/>
      <c r="BM30" s="465"/>
      <c r="BN30" s="465"/>
      <c r="BO30" s="465"/>
      <c r="BP30" s="465"/>
      <c r="BQ30" s="465"/>
      <c r="BR30" s="465"/>
      <c r="BS30" s="465"/>
      <c r="BT30" s="465"/>
      <c r="BU30" s="465"/>
      <c r="BV30" s="465"/>
      <c r="BW30" s="465"/>
      <c r="BX30" s="466"/>
    </row>
    <row r="31" spans="1:76" s="6" customFormat="1" ht="12.75" customHeight="1" hidden="1">
      <c r="A31" s="471" t="s">
        <v>185</v>
      </c>
      <c r="B31" s="471"/>
      <c r="C31" s="471"/>
      <c r="D31" s="541" t="s">
        <v>192</v>
      </c>
      <c r="E31" s="542"/>
      <c r="F31" s="542"/>
      <c r="G31" s="542"/>
      <c r="H31" s="542"/>
      <c r="I31" s="542"/>
      <c r="J31" s="542"/>
      <c r="K31" s="542"/>
      <c r="L31" s="542"/>
      <c r="M31" s="542"/>
      <c r="N31" s="542"/>
      <c r="O31" s="542"/>
      <c r="P31" s="542"/>
      <c r="Q31" s="542"/>
      <c r="R31" s="542"/>
      <c r="S31" s="542"/>
      <c r="T31" s="542"/>
      <c r="U31" s="542"/>
      <c r="V31" s="542"/>
      <c r="W31" s="542"/>
      <c r="X31" s="542"/>
      <c r="Y31" s="542"/>
      <c r="Z31" s="542"/>
      <c r="AA31" s="543"/>
      <c r="AB31" s="470">
        <v>26450</v>
      </c>
      <c r="AC31" s="471"/>
      <c r="AD31" s="471"/>
      <c r="AE31" s="471"/>
      <c r="AF31" s="471" t="s">
        <v>34</v>
      </c>
      <c r="AG31" s="471"/>
      <c r="AH31" s="471"/>
      <c r="AI31" s="471"/>
      <c r="AJ31" s="472"/>
      <c r="AK31" s="473"/>
      <c r="AL31" s="473"/>
      <c r="AM31" s="473"/>
      <c r="AN31" s="473"/>
      <c r="AO31" s="473"/>
      <c r="AP31" s="474"/>
      <c r="AQ31" s="472"/>
      <c r="AR31" s="473"/>
      <c r="AS31" s="473"/>
      <c r="AT31" s="473"/>
      <c r="AU31" s="473"/>
      <c r="AV31" s="474"/>
      <c r="AW31" s="461"/>
      <c r="AX31" s="461"/>
      <c r="AY31" s="461"/>
      <c r="AZ31" s="461"/>
      <c r="BA31" s="461"/>
      <c r="BB31" s="461"/>
      <c r="BC31" s="461"/>
      <c r="BD31" s="461"/>
      <c r="BE31" s="461"/>
      <c r="BF31" s="461"/>
      <c r="BG31" s="461"/>
      <c r="BH31" s="461"/>
      <c r="BI31" s="461"/>
      <c r="BJ31" s="461"/>
      <c r="BK31" s="461"/>
      <c r="BL31" s="461"/>
      <c r="BM31" s="461"/>
      <c r="BN31" s="461"/>
      <c r="BO31" s="461"/>
      <c r="BP31" s="461"/>
      <c r="BQ31" s="461"/>
      <c r="BR31" s="461"/>
      <c r="BS31" s="461"/>
      <c r="BT31" s="461"/>
      <c r="BU31" s="461"/>
      <c r="BV31" s="461"/>
      <c r="BW31" s="461"/>
      <c r="BX31" s="462"/>
    </row>
    <row r="32" spans="1:76" s="6" customFormat="1" ht="22.5" customHeight="1" hidden="1">
      <c r="A32" s="529" t="s">
        <v>186</v>
      </c>
      <c r="B32" s="529"/>
      <c r="C32" s="529"/>
      <c r="D32" s="536" t="s">
        <v>190</v>
      </c>
      <c r="E32" s="537"/>
      <c r="F32" s="537"/>
      <c r="G32" s="537"/>
      <c r="H32" s="537"/>
      <c r="I32" s="537"/>
      <c r="J32" s="537"/>
      <c r="K32" s="537"/>
      <c r="L32" s="537"/>
      <c r="M32" s="537"/>
      <c r="N32" s="537"/>
      <c r="O32" s="537"/>
      <c r="P32" s="537"/>
      <c r="Q32" s="537"/>
      <c r="R32" s="537"/>
      <c r="S32" s="537"/>
      <c r="T32" s="537"/>
      <c r="U32" s="537"/>
      <c r="V32" s="537"/>
      <c r="W32" s="537"/>
      <c r="X32" s="537"/>
      <c r="Y32" s="537"/>
      <c r="Z32" s="537"/>
      <c r="AA32" s="538"/>
      <c r="AB32" s="482">
        <v>26451</v>
      </c>
      <c r="AC32" s="483"/>
      <c r="AD32" s="483"/>
      <c r="AE32" s="483"/>
      <c r="AF32" s="483" t="s">
        <v>34</v>
      </c>
      <c r="AG32" s="483"/>
      <c r="AH32" s="483"/>
      <c r="AI32" s="483"/>
      <c r="AJ32" s="472"/>
      <c r="AK32" s="473"/>
      <c r="AL32" s="473"/>
      <c r="AM32" s="473"/>
      <c r="AN32" s="473"/>
      <c r="AO32" s="473"/>
      <c r="AP32" s="474"/>
      <c r="AQ32" s="472"/>
      <c r="AR32" s="473"/>
      <c r="AS32" s="473"/>
      <c r="AT32" s="473"/>
      <c r="AU32" s="473"/>
      <c r="AV32" s="474"/>
      <c r="AW32" s="475"/>
      <c r="AX32" s="475"/>
      <c r="AY32" s="475"/>
      <c r="AZ32" s="475"/>
      <c r="BA32" s="475"/>
      <c r="BB32" s="475"/>
      <c r="BC32" s="475"/>
      <c r="BD32" s="539"/>
      <c r="BE32" s="539"/>
      <c r="BF32" s="539"/>
      <c r="BG32" s="539"/>
      <c r="BH32" s="539"/>
      <c r="BI32" s="539"/>
      <c r="BJ32" s="539"/>
      <c r="BK32" s="539"/>
      <c r="BL32" s="539"/>
      <c r="BM32" s="539"/>
      <c r="BN32" s="539"/>
      <c r="BO32" s="539"/>
      <c r="BP32" s="539"/>
      <c r="BQ32" s="539"/>
      <c r="BR32" s="539"/>
      <c r="BS32" s="539"/>
      <c r="BT32" s="539"/>
      <c r="BU32" s="539"/>
      <c r="BV32" s="539"/>
      <c r="BW32" s="539"/>
      <c r="BX32" s="540"/>
    </row>
    <row r="33" spans="1:76" s="6" customFormat="1" ht="22.5" customHeight="1" hidden="1">
      <c r="A33" s="467"/>
      <c r="B33" s="467"/>
      <c r="C33" s="467"/>
      <c r="D33" s="468" t="s">
        <v>274</v>
      </c>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70" t="s">
        <v>244</v>
      </c>
      <c r="AC33" s="471"/>
      <c r="AD33" s="471"/>
      <c r="AE33" s="471"/>
      <c r="AF33" s="471" t="s">
        <v>34</v>
      </c>
      <c r="AG33" s="471"/>
      <c r="AH33" s="471"/>
      <c r="AI33" s="471"/>
      <c r="AJ33" s="472"/>
      <c r="AK33" s="473"/>
      <c r="AL33" s="473"/>
      <c r="AM33" s="473"/>
      <c r="AN33" s="473"/>
      <c r="AO33" s="473"/>
      <c r="AP33" s="474"/>
      <c r="AQ33" s="472"/>
      <c r="AR33" s="473"/>
      <c r="AS33" s="473"/>
      <c r="AT33" s="473"/>
      <c r="AU33" s="473"/>
      <c r="AV33" s="474"/>
      <c r="AW33" s="461"/>
      <c r="AX33" s="461"/>
      <c r="AY33" s="461"/>
      <c r="AZ33" s="461"/>
      <c r="BA33" s="461"/>
      <c r="BB33" s="461"/>
      <c r="BC33" s="461"/>
      <c r="BD33" s="461"/>
      <c r="BE33" s="461"/>
      <c r="BF33" s="461"/>
      <c r="BG33" s="461"/>
      <c r="BH33" s="461"/>
      <c r="BI33" s="461"/>
      <c r="BJ33" s="461"/>
      <c r="BK33" s="461"/>
      <c r="BL33" s="461"/>
      <c r="BM33" s="461"/>
      <c r="BN33" s="461"/>
      <c r="BO33" s="461"/>
      <c r="BP33" s="461"/>
      <c r="BQ33" s="461"/>
      <c r="BR33" s="461"/>
      <c r="BS33" s="461"/>
      <c r="BT33" s="461"/>
      <c r="BU33" s="461"/>
      <c r="BV33" s="461"/>
      <c r="BW33" s="461"/>
      <c r="BX33" s="462"/>
    </row>
    <row r="34" spans="1:76" s="6" customFormat="1" ht="22.5" customHeight="1" hidden="1">
      <c r="A34" s="467"/>
      <c r="B34" s="467"/>
      <c r="C34" s="467"/>
      <c r="D34" s="468" t="s">
        <v>286</v>
      </c>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70" t="s">
        <v>288</v>
      </c>
      <c r="AC34" s="471"/>
      <c r="AD34" s="471"/>
      <c r="AE34" s="471"/>
      <c r="AF34" s="471" t="s">
        <v>34</v>
      </c>
      <c r="AG34" s="471"/>
      <c r="AH34" s="471"/>
      <c r="AI34" s="471"/>
      <c r="AJ34" s="472"/>
      <c r="AK34" s="473"/>
      <c r="AL34" s="473"/>
      <c r="AM34" s="473"/>
      <c r="AN34" s="473"/>
      <c r="AO34" s="473"/>
      <c r="AP34" s="474"/>
      <c r="AQ34" s="472"/>
      <c r="AR34" s="473"/>
      <c r="AS34" s="473"/>
      <c r="AT34" s="473"/>
      <c r="AU34" s="473"/>
      <c r="AV34" s="474"/>
      <c r="AW34" s="461"/>
      <c r="AX34" s="461"/>
      <c r="AY34" s="461"/>
      <c r="AZ34" s="461"/>
      <c r="BA34" s="461"/>
      <c r="BB34" s="461"/>
      <c r="BC34" s="461"/>
      <c r="BD34" s="461"/>
      <c r="BE34" s="461"/>
      <c r="BF34" s="461"/>
      <c r="BG34" s="461"/>
      <c r="BH34" s="461"/>
      <c r="BI34" s="461"/>
      <c r="BJ34" s="461"/>
      <c r="BK34" s="461"/>
      <c r="BL34" s="461"/>
      <c r="BM34" s="461"/>
      <c r="BN34" s="461"/>
      <c r="BO34" s="461"/>
      <c r="BP34" s="461"/>
      <c r="BQ34" s="461"/>
      <c r="BR34" s="461"/>
      <c r="BS34" s="461"/>
      <c r="BT34" s="461"/>
      <c r="BU34" s="461"/>
      <c r="BV34" s="461"/>
      <c r="BW34" s="461"/>
      <c r="BX34" s="462"/>
    </row>
    <row r="35" spans="1:76" s="6" customFormat="1" ht="12.75" customHeight="1" hidden="1">
      <c r="A35" s="471" t="s">
        <v>187</v>
      </c>
      <c r="B35" s="471"/>
      <c r="C35" s="471"/>
      <c r="D35" s="533" t="s">
        <v>191</v>
      </c>
      <c r="E35" s="534"/>
      <c r="F35" s="534"/>
      <c r="G35" s="534"/>
      <c r="H35" s="534"/>
      <c r="I35" s="534"/>
      <c r="J35" s="534"/>
      <c r="K35" s="534"/>
      <c r="L35" s="534"/>
      <c r="M35" s="534"/>
      <c r="N35" s="534"/>
      <c r="O35" s="534"/>
      <c r="P35" s="534"/>
      <c r="Q35" s="534"/>
      <c r="R35" s="534"/>
      <c r="S35" s="534"/>
      <c r="T35" s="534"/>
      <c r="U35" s="534"/>
      <c r="V35" s="534"/>
      <c r="W35" s="534"/>
      <c r="X35" s="534"/>
      <c r="Y35" s="534"/>
      <c r="Z35" s="534"/>
      <c r="AA35" s="535"/>
      <c r="AB35" s="470">
        <v>26452</v>
      </c>
      <c r="AC35" s="471"/>
      <c r="AD35" s="471"/>
      <c r="AE35" s="471"/>
      <c r="AF35" s="471" t="s">
        <v>34</v>
      </c>
      <c r="AG35" s="471"/>
      <c r="AH35" s="471"/>
      <c r="AI35" s="471"/>
      <c r="AJ35" s="472"/>
      <c r="AK35" s="473"/>
      <c r="AL35" s="473"/>
      <c r="AM35" s="473"/>
      <c r="AN35" s="473"/>
      <c r="AO35" s="473"/>
      <c r="AP35" s="474"/>
      <c r="AQ35" s="472"/>
      <c r="AR35" s="473"/>
      <c r="AS35" s="473"/>
      <c r="AT35" s="473"/>
      <c r="AU35" s="473"/>
      <c r="AV35" s="474"/>
      <c r="AW35" s="461"/>
      <c r="AX35" s="461"/>
      <c r="AY35" s="461"/>
      <c r="AZ35" s="461"/>
      <c r="BA35" s="461"/>
      <c r="BB35" s="461"/>
      <c r="BC35" s="461"/>
      <c r="BD35" s="461"/>
      <c r="BE35" s="461"/>
      <c r="BF35" s="461"/>
      <c r="BG35" s="461"/>
      <c r="BH35" s="461"/>
      <c r="BI35" s="461"/>
      <c r="BJ35" s="461"/>
      <c r="BK35" s="461"/>
      <c r="BL35" s="461"/>
      <c r="BM35" s="461"/>
      <c r="BN35" s="461"/>
      <c r="BO35" s="461"/>
      <c r="BP35" s="461"/>
      <c r="BQ35" s="461"/>
      <c r="BR35" s="461"/>
      <c r="BS35" s="461"/>
      <c r="BT35" s="461"/>
      <c r="BU35" s="461"/>
      <c r="BV35" s="461"/>
      <c r="BW35" s="461"/>
      <c r="BX35" s="462"/>
    </row>
    <row r="36" spans="1:76" s="6" customFormat="1" ht="45.75" customHeight="1">
      <c r="A36" s="529" t="s">
        <v>188</v>
      </c>
      <c r="B36" s="529"/>
      <c r="C36" s="529"/>
      <c r="D36" s="530" t="s">
        <v>276</v>
      </c>
      <c r="E36" s="531"/>
      <c r="F36" s="531"/>
      <c r="G36" s="531"/>
      <c r="H36" s="531"/>
      <c r="I36" s="531"/>
      <c r="J36" s="531"/>
      <c r="K36" s="531"/>
      <c r="L36" s="531"/>
      <c r="M36" s="531"/>
      <c r="N36" s="531"/>
      <c r="O36" s="531"/>
      <c r="P36" s="531"/>
      <c r="Q36" s="531"/>
      <c r="R36" s="531"/>
      <c r="S36" s="531"/>
      <c r="T36" s="531"/>
      <c r="U36" s="531"/>
      <c r="V36" s="531"/>
      <c r="W36" s="531"/>
      <c r="X36" s="531"/>
      <c r="Y36" s="531"/>
      <c r="Z36" s="531"/>
      <c r="AA36" s="532"/>
      <c r="AB36" s="470">
        <v>26500</v>
      </c>
      <c r="AC36" s="471"/>
      <c r="AD36" s="471"/>
      <c r="AE36" s="471"/>
      <c r="AF36" s="471" t="s">
        <v>34</v>
      </c>
      <c r="AG36" s="471"/>
      <c r="AH36" s="471"/>
      <c r="AI36" s="471"/>
      <c r="AJ36" s="472"/>
      <c r="AK36" s="473"/>
      <c r="AL36" s="473"/>
      <c r="AM36" s="473"/>
      <c r="AN36" s="473"/>
      <c r="AO36" s="473"/>
      <c r="AP36" s="474"/>
      <c r="AQ36" s="472"/>
      <c r="AR36" s="473"/>
      <c r="AS36" s="473"/>
      <c r="AT36" s="473"/>
      <c r="AU36" s="473"/>
      <c r="AV36" s="474"/>
      <c r="AW36" s="461">
        <f>AW17</f>
        <v>5294680.8724</v>
      </c>
      <c r="AX36" s="461"/>
      <c r="AY36" s="461"/>
      <c r="AZ36" s="461"/>
      <c r="BA36" s="461"/>
      <c r="BB36" s="461"/>
      <c r="BC36" s="461"/>
      <c r="BD36" s="461">
        <f>BD17</f>
        <v>908700</v>
      </c>
      <c r="BE36" s="461"/>
      <c r="BF36" s="461"/>
      <c r="BG36" s="461"/>
      <c r="BH36" s="461"/>
      <c r="BI36" s="461"/>
      <c r="BJ36" s="461"/>
      <c r="BK36" s="461">
        <f>BK17</f>
        <v>743700</v>
      </c>
      <c r="BL36" s="461"/>
      <c r="BM36" s="461"/>
      <c r="BN36" s="461"/>
      <c r="BO36" s="461"/>
      <c r="BP36" s="461"/>
      <c r="BQ36" s="461"/>
      <c r="BR36" s="461"/>
      <c r="BS36" s="461"/>
      <c r="BT36" s="461"/>
      <c r="BU36" s="461"/>
      <c r="BV36" s="461"/>
      <c r="BW36" s="461"/>
      <c r="BX36" s="462"/>
    </row>
    <row r="37" spans="1:76" s="6" customFormat="1" ht="12.75" customHeight="1">
      <c r="A37" s="478"/>
      <c r="B37" s="478"/>
      <c r="C37" s="478"/>
      <c r="D37" s="528" t="s">
        <v>193</v>
      </c>
      <c r="E37" s="507"/>
      <c r="F37" s="507"/>
      <c r="G37" s="507"/>
      <c r="H37" s="507"/>
      <c r="I37" s="507"/>
      <c r="J37" s="507"/>
      <c r="K37" s="507"/>
      <c r="L37" s="507"/>
      <c r="M37" s="507"/>
      <c r="N37" s="507"/>
      <c r="O37" s="507"/>
      <c r="P37" s="507"/>
      <c r="Q37" s="507"/>
      <c r="R37" s="507"/>
      <c r="S37" s="507"/>
      <c r="T37" s="507"/>
      <c r="U37" s="507"/>
      <c r="V37" s="507"/>
      <c r="W37" s="507"/>
      <c r="X37" s="507"/>
      <c r="Y37" s="507"/>
      <c r="Z37" s="507"/>
      <c r="AA37" s="508"/>
      <c r="AB37" s="470">
        <v>26510</v>
      </c>
      <c r="AC37" s="471"/>
      <c r="AD37" s="471"/>
      <c r="AE37" s="471"/>
      <c r="AF37" s="471"/>
      <c r="AG37" s="471"/>
      <c r="AH37" s="471"/>
      <c r="AI37" s="471"/>
      <c r="AJ37" s="487"/>
      <c r="AK37" s="488"/>
      <c r="AL37" s="488"/>
      <c r="AM37" s="488"/>
      <c r="AN37" s="488"/>
      <c r="AO37" s="488"/>
      <c r="AP37" s="489"/>
      <c r="AQ37" s="487"/>
      <c r="AR37" s="488"/>
      <c r="AS37" s="488"/>
      <c r="AT37" s="488"/>
      <c r="AU37" s="488"/>
      <c r="AV37" s="489"/>
      <c r="AW37" s="526"/>
      <c r="AX37" s="526"/>
      <c r="AY37" s="526"/>
      <c r="AZ37" s="526"/>
      <c r="BA37" s="526"/>
      <c r="BB37" s="526"/>
      <c r="BC37" s="526"/>
      <c r="BD37" s="526"/>
      <c r="BE37" s="526"/>
      <c r="BF37" s="526"/>
      <c r="BG37" s="526"/>
      <c r="BH37" s="526"/>
      <c r="BI37" s="526"/>
      <c r="BJ37" s="526"/>
      <c r="BK37" s="526"/>
      <c r="BL37" s="526"/>
      <c r="BM37" s="526"/>
      <c r="BN37" s="526"/>
      <c r="BO37" s="526"/>
      <c r="BP37" s="526"/>
      <c r="BQ37" s="526"/>
      <c r="BR37" s="526"/>
      <c r="BS37" s="526"/>
      <c r="BT37" s="526"/>
      <c r="BU37" s="526"/>
      <c r="BV37" s="526"/>
      <c r="BW37" s="526"/>
      <c r="BX37" s="527"/>
    </row>
    <row r="38" spans="1:76" s="6" customFormat="1" ht="45.75" customHeight="1">
      <c r="A38" s="478" t="s">
        <v>189</v>
      </c>
      <c r="B38" s="478"/>
      <c r="C38" s="478"/>
      <c r="D38" s="521" t="s">
        <v>194</v>
      </c>
      <c r="E38" s="522"/>
      <c r="F38" s="522"/>
      <c r="G38" s="522"/>
      <c r="H38" s="522"/>
      <c r="I38" s="522"/>
      <c r="J38" s="522"/>
      <c r="K38" s="522"/>
      <c r="L38" s="522"/>
      <c r="M38" s="522"/>
      <c r="N38" s="522"/>
      <c r="O38" s="522"/>
      <c r="P38" s="522"/>
      <c r="Q38" s="522"/>
      <c r="R38" s="522"/>
      <c r="S38" s="522"/>
      <c r="T38" s="522"/>
      <c r="U38" s="522"/>
      <c r="V38" s="522"/>
      <c r="W38" s="522"/>
      <c r="X38" s="522"/>
      <c r="Y38" s="522"/>
      <c r="Z38" s="522"/>
      <c r="AA38" s="523"/>
      <c r="AB38" s="470">
        <v>26600</v>
      </c>
      <c r="AC38" s="471"/>
      <c r="AD38" s="471"/>
      <c r="AE38" s="471"/>
      <c r="AF38" s="471" t="s">
        <v>34</v>
      </c>
      <c r="AG38" s="471"/>
      <c r="AH38" s="471"/>
      <c r="AI38" s="471"/>
      <c r="AJ38" s="487"/>
      <c r="AK38" s="488"/>
      <c r="AL38" s="488"/>
      <c r="AM38" s="488"/>
      <c r="AN38" s="488"/>
      <c r="AO38" s="488"/>
      <c r="AP38" s="489"/>
      <c r="AQ38" s="487"/>
      <c r="AR38" s="488"/>
      <c r="AS38" s="488"/>
      <c r="AT38" s="488"/>
      <c r="AU38" s="488"/>
      <c r="AV38" s="489"/>
      <c r="AW38" s="526"/>
      <c r="AX38" s="526"/>
      <c r="AY38" s="526"/>
      <c r="AZ38" s="526"/>
      <c r="BA38" s="526"/>
      <c r="BB38" s="526"/>
      <c r="BC38" s="526"/>
      <c r="BD38" s="526"/>
      <c r="BE38" s="526"/>
      <c r="BF38" s="526"/>
      <c r="BG38" s="526"/>
      <c r="BH38" s="526"/>
      <c r="BI38" s="526"/>
      <c r="BJ38" s="526"/>
      <c r="BK38" s="526"/>
      <c r="BL38" s="526"/>
      <c r="BM38" s="526"/>
      <c r="BN38" s="526"/>
      <c r="BO38" s="526"/>
      <c r="BP38" s="526"/>
      <c r="BQ38" s="526"/>
      <c r="BR38" s="526"/>
      <c r="BS38" s="526"/>
      <c r="BT38" s="526"/>
      <c r="BU38" s="526"/>
      <c r="BV38" s="526"/>
      <c r="BW38" s="526"/>
      <c r="BX38" s="527"/>
    </row>
    <row r="39" spans="1:76" s="6" customFormat="1" ht="12.75" customHeight="1" thickBot="1">
      <c r="A39" s="471"/>
      <c r="B39" s="471"/>
      <c r="C39" s="471"/>
      <c r="D39" s="521" t="s">
        <v>193</v>
      </c>
      <c r="E39" s="522"/>
      <c r="F39" s="522"/>
      <c r="G39" s="522"/>
      <c r="H39" s="522"/>
      <c r="I39" s="522"/>
      <c r="J39" s="522"/>
      <c r="K39" s="522"/>
      <c r="L39" s="522"/>
      <c r="M39" s="522"/>
      <c r="N39" s="522"/>
      <c r="O39" s="522"/>
      <c r="P39" s="522"/>
      <c r="Q39" s="522"/>
      <c r="R39" s="522"/>
      <c r="S39" s="522"/>
      <c r="T39" s="522"/>
      <c r="U39" s="522"/>
      <c r="V39" s="522"/>
      <c r="W39" s="522"/>
      <c r="X39" s="522"/>
      <c r="Y39" s="522"/>
      <c r="Z39" s="522"/>
      <c r="AA39" s="523"/>
      <c r="AB39" s="524">
        <v>26610</v>
      </c>
      <c r="AC39" s="525"/>
      <c r="AD39" s="525"/>
      <c r="AE39" s="525"/>
      <c r="AF39" s="525"/>
      <c r="AG39" s="525"/>
      <c r="AH39" s="525"/>
      <c r="AI39" s="525"/>
      <c r="AJ39" s="490"/>
      <c r="AK39" s="491"/>
      <c r="AL39" s="491"/>
      <c r="AM39" s="491"/>
      <c r="AN39" s="491"/>
      <c r="AO39" s="491"/>
      <c r="AP39" s="492"/>
      <c r="AQ39" s="490"/>
      <c r="AR39" s="491"/>
      <c r="AS39" s="491"/>
      <c r="AT39" s="491"/>
      <c r="AU39" s="491"/>
      <c r="AV39" s="492"/>
      <c r="AW39" s="505"/>
      <c r="AX39" s="505"/>
      <c r="AY39" s="505"/>
      <c r="AZ39" s="505"/>
      <c r="BA39" s="505"/>
      <c r="BB39" s="505"/>
      <c r="BC39" s="505"/>
      <c r="BD39" s="505"/>
      <c r="BE39" s="505"/>
      <c r="BF39" s="505"/>
      <c r="BG39" s="505"/>
      <c r="BH39" s="505"/>
      <c r="BI39" s="505"/>
      <c r="BJ39" s="505"/>
      <c r="BK39" s="505"/>
      <c r="BL39" s="505"/>
      <c r="BM39" s="505"/>
      <c r="BN39" s="505"/>
      <c r="BO39" s="505"/>
      <c r="BP39" s="505"/>
      <c r="BQ39" s="505"/>
      <c r="BR39" s="505"/>
      <c r="BS39" s="505"/>
      <c r="BT39" s="505"/>
      <c r="BU39" s="505"/>
      <c r="BV39" s="505"/>
      <c r="BW39" s="505"/>
      <c r="BX39" s="520"/>
    </row>
    <row r="40" spans="1:76" ht="6.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row>
    <row r="41" spans="1:76" ht="12" customHeight="1">
      <c r="A41" s="12" t="s">
        <v>198</v>
      </c>
      <c r="B41" s="12"/>
      <c r="C41" s="12"/>
      <c r="D41" s="12"/>
      <c r="E41" s="12"/>
      <c r="F41" s="12"/>
      <c r="G41" s="12"/>
      <c r="H41" s="12"/>
      <c r="I41" s="12"/>
      <c r="J41" s="12"/>
      <c r="K41" s="12"/>
      <c r="L41" s="12"/>
      <c r="M41" s="12"/>
      <c r="N41" s="12"/>
      <c r="O41" s="12"/>
      <c r="P41" s="12"/>
      <c r="Q41" s="12"/>
      <c r="R41" s="12"/>
      <c r="S41" s="12"/>
      <c r="T41" s="12"/>
      <c r="U41" s="12"/>
      <c r="V41" s="12"/>
      <c r="W41" s="504" t="s">
        <v>290</v>
      </c>
      <c r="X41" s="504"/>
      <c r="Y41" s="504"/>
      <c r="Z41" s="504"/>
      <c r="AA41" s="504"/>
      <c r="AB41" s="504"/>
      <c r="AC41" s="504"/>
      <c r="AD41" s="504"/>
      <c r="AE41" s="504"/>
      <c r="AF41" s="504"/>
      <c r="AG41" s="504"/>
      <c r="AH41" s="12"/>
      <c r="AI41" s="504"/>
      <c r="AJ41" s="504"/>
      <c r="AK41" s="504"/>
      <c r="AL41" s="504"/>
      <c r="AM41" s="504"/>
      <c r="AN41" s="504"/>
      <c r="AO41" s="504"/>
      <c r="AP41" s="504"/>
      <c r="AQ41" s="504"/>
      <c r="AR41" s="12"/>
      <c r="AS41" s="504" t="s">
        <v>564</v>
      </c>
      <c r="AT41" s="504"/>
      <c r="AU41" s="504"/>
      <c r="AV41" s="504"/>
      <c r="AW41" s="504"/>
      <c r="AX41" s="504"/>
      <c r="AY41" s="504"/>
      <c r="AZ41" s="504"/>
      <c r="BA41" s="504"/>
      <c r="BB41" s="504"/>
      <c r="BC41" s="504"/>
      <c r="BD41" s="504"/>
      <c r="BE41" s="504"/>
      <c r="BF41" s="504"/>
      <c r="BG41" s="504"/>
      <c r="BH41" s="504"/>
      <c r="BI41" s="504"/>
      <c r="BJ41" s="5"/>
      <c r="BK41" s="5"/>
      <c r="BL41" s="5"/>
      <c r="BM41" s="5"/>
      <c r="BN41" s="5"/>
      <c r="BO41" s="7"/>
      <c r="BP41" s="7"/>
      <c r="BQ41" s="7"/>
      <c r="BR41" s="7"/>
      <c r="BS41" s="7"/>
      <c r="BT41" s="7"/>
      <c r="BU41" s="7"/>
      <c r="BV41" s="7"/>
      <c r="BW41" s="7"/>
      <c r="BX41" s="7"/>
    </row>
    <row r="42" spans="1:71" ht="12" customHeight="1">
      <c r="A42" s="601" t="s">
        <v>197</v>
      </c>
      <c r="B42" s="601"/>
      <c r="C42" s="601"/>
      <c r="D42" s="601"/>
      <c r="E42" s="601"/>
      <c r="F42" s="601"/>
      <c r="G42" s="601"/>
      <c r="H42" s="601"/>
      <c r="I42" s="601"/>
      <c r="J42" s="601"/>
      <c r="K42" s="601"/>
      <c r="L42" s="601"/>
      <c r="M42" s="601"/>
      <c r="N42" s="601"/>
      <c r="O42" s="601"/>
      <c r="P42" s="601"/>
      <c r="Q42" s="601"/>
      <c r="R42" s="601"/>
      <c r="S42" s="601"/>
      <c r="T42" s="601"/>
      <c r="U42" s="13"/>
      <c r="V42" s="13"/>
      <c r="W42" s="382"/>
      <c r="X42" s="382"/>
      <c r="Y42" s="382"/>
      <c r="Z42" s="382"/>
      <c r="AA42" s="382"/>
      <c r="AB42" s="382"/>
      <c r="AC42" s="382"/>
      <c r="AD42" s="382"/>
      <c r="AE42" s="382"/>
      <c r="AF42" s="382"/>
      <c r="AG42" s="382"/>
      <c r="AH42" s="5"/>
      <c r="AI42" s="382"/>
      <c r="AJ42" s="382"/>
      <c r="AK42" s="382"/>
      <c r="AL42" s="382"/>
      <c r="AM42" s="382"/>
      <c r="AN42" s="382"/>
      <c r="AO42" s="382"/>
      <c r="AP42" s="382"/>
      <c r="AQ42" s="382"/>
      <c r="AR42" s="14"/>
      <c r="AS42" s="382"/>
      <c r="AT42" s="382"/>
      <c r="AU42" s="382"/>
      <c r="AV42" s="382"/>
      <c r="AW42" s="382"/>
      <c r="AX42" s="382"/>
      <c r="AY42" s="382"/>
      <c r="AZ42" s="382"/>
      <c r="BA42" s="382"/>
      <c r="BB42" s="382"/>
      <c r="BC42" s="382"/>
      <c r="BD42" s="382"/>
      <c r="BE42" s="382"/>
      <c r="BF42" s="382"/>
      <c r="BG42" s="382"/>
      <c r="BH42" s="382"/>
      <c r="BI42" s="382"/>
      <c r="BQ42" s="7"/>
      <c r="BR42" s="7"/>
      <c r="BS42" s="7"/>
    </row>
    <row r="43" spans="23:61" s="33" customFormat="1" ht="9.75" customHeight="1">
      <c r="W43" s="591" t="s">
        <v>195</v>
      </c>
      <c r="X43" s="591"/>
      <c r="Y43" s="591"/>
      <c r="Z43" s="591"/>
      <c r="AA43" s="591"/>
      <c r="AB43" s="591"/>
      <c r="AC43" s="591"/>
      <c r="AD43" s="591"/>
      <c r="AE43" s="591"/>
      <c r="AF43" s="591"/>
      <c r="AG43" s="591"/>
      <c r="AI43" s="591" t="s">
        <v>54</v>
      </c>
      <c r="AJ43" s="591"/>
      <c r="AK43" s="591"/>
      <c r="AL43" s="591"/>
      <c r="AM43" s="591"/>
      <c r="AN43" s="591"/>
      <c r="AO43" s="591"/>
      <c r="AP43" s="591"/>
      <c r="AQ43" s="591"/>
      <c r="AR43" s="34"/>
      <c r="AS43" s="591" t="s">
        <v>55</v>
      </c>
      <c r="AT43" s="591"/>
      <c r="AU43" s="591"/>
      <c r="AV43" s="591"/>
      <c r="AW43" s="591"/>
      <c r="AX43" s="591"/>
      <c r="AY43" s="591"/>
      <c r="AZ43" s="591"/>
      <c r="BA43" s="591"/>
      <c r="BB43" s="591"/>
      <c r="BC43" s="591"/>
      <c r="BD43" s="591"/>
      <c r="BE43" s="591"/>
      <c r="BF43" s="591"/>
      <c r="BG43" s="591"/>
      <c r="BH43" s="591"/>
      <c r="BI43" s="591"/>
    </row>
    <row r="44" spans="1:76" ht="3"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row>
    <row r="45" spans="1:76" ht="15" customHeight="1">
      <c r="A45" s="15" t="s">
        <v>196</v>
      </c>
      <c r="B45" s="15"/>
      <c r="C45" s="15"/>
      <c r="D45" s="15"/>
      <c r="E45" s="15"/>
      <c r="F45" s="15"/>
      <c r="G45" s="15"/>
      <c r="H45" s="15"/>
      <c r="I45" s="15"/>
      <c r="J45" s="15"/>
      <c r="K45" s="15"/>
      <c r="L45" s="602" t="s">
        <v>499</v>
      </c>
      <c r="M45" s="602"/>
      <c r="N45" s="602"/>
      <c r="O45" s="602"/>
      <c r="P45" s="602"/>
      <c r="Q45" s="602"/>
      <c r="R45" s="602"/>
      <c r="S45" s="602"/>
      <c r="T45" s="602"/>
      <c r="U45" s="602"/>
      <c r="V45" s="602"/>
      <c r="W45" s="17"/>
      <c r="X45" s="602" t="s">
        <v>500</v>
      </c>
      <c r="Y45" s="602"/>
      <c r="Z45" s="602"/>
      <c r="AA45" s="602"/>
      <c r="AB45" s="602"/>
      <c r="AC45" s="602"/>
      <c r="AD45" s="602"/>
      <c r="AE45" s="602"/>
      <c r="AF45" s="602"/>
      <c r="AG45" s="602"/>
      <c r="AH45" s="602"/>
      <c r="AI45" s="602"/>
      <c r="AJ45" s="602"/>
      <c r="AK45" s="602"/>
      <c r="AL45" s="602"/>
      <c r="AM45" s="602"/>
      <c r="AN45" s="602"/>
      <c r="AO45" s="16"/>
      <c r="AP45" s="602" t="s">
        <v>501</v>
      </c>
      <c r="AQ45" s="602"/>
      <c r="AR45" s="602"/>
      <c r="AS45" s="602"/>
      <c r="AT45" s="602"/>
      <c r="AU45" s="602"/>
      <c r="AV45" s="602"/>
      <c r="AW45" s="602"/>
      <c r="AX45" s="602"/>
      <c r="BE45" s="7"/>
      <c r="BF45" s="7"/>
      <c r="BG45" s="7"/>
      <c r="BH45" s="7"/>
      <c r="BI45" s="7"/>
      <c r="BJ45" s="7"/>
      <c r="BK45" s="7"/>
      <c r="BL45" s="7"/>
      <c r="BM45" s="7"/>
      <c r="BN45" s="7"/>
      <c r="BO45" s="7"/>
      <c r="BP45" s="7"/>
      <c r="BQ45" s="7"/>
      <c r="BR45" s="7"/>
      <c r="BS45" s="7"/>
      <c r="BT45" s="7"/>
      <c r="BU45" s="7"/>
      <c r="BV45" s="7"/>
      <c r="BW45" s="7"/>
      <c r="BX45" s="7"/>
    </row>
    <row r="46" spans="1:50" s="33" customFormat="1" ht="9.75" customHeight="1">
      <c r="A46" s="35"/>
      <c r="B46" s="35"/>
      <c r="C46" s="35"/>
      <c r="D46" s="36"/>
      <c r="E46" s="36"/>
      <c r="F46" s="36"/>
      <c r="G46" s="36"/>
      <c r="H46" s="36"/>
      <c r="I46" s="36"/>
      <c r="J46" s="36"/>
      <c r="K46" s="36"/>
      <c r="L46" s="591" t="s">
        <v>195</v>
      </c>
      <c r="M46" s="591"/>
      <c r="N46" s="591"/>
      <c r="O46" s="591"/>
      <c r="P46" s="591"/>
      <c r="Q46" s="591"/>
      <c r="R46" s="591"/>
      <c r="S46" s="591"/>
      <c r="T46" s="591"/>
      <c r="U46" s="591"/>
      <c r="V46" s="591"/>
      <c r="X46" s="591" t="s">
        <v>199</v>
      </c>
      <c r="Y46" s="591"/>
      <c r="Z46" s="591"/>
      <c r="AA46" s="591"/>
      <c r="AB46" s="591"/>
      <c r="AC46" s="591"/>
      <c r="AD46" s="591"/>
      <c r="AE46" s="591"/>
      <c r="AF46" s="591"/>
      <c r="AG46" s="591"/>
      <c r="AH46" s="591"/>
      <c r="AI46" s="591"/>
      <c r="AJ46" s="591"/>
      <c r="AK46" s="591"/>
      <c r="AL46" s="591"/>
      <c r="AM46" s="591"/>
      <c r="AN46" s="591"/>
      <c r="AP46" s="591" t="s">
        <v>200</v>
      </c>
      <c r="AQ46" s="591"/>
      <c r="AR46" s="591"/>
      <c r="AS46" s="591"/>
      <c r="AT46" s="591"/>
      <c r="AU46" s="591"/>
      <c r="AV46" s="591"/>
      <c r="AW46" s="591"/>
      <c r="AX46" s="591"/>
    </row>
    <row r="47" spans="1:76" ht="3"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row>
    <row r="48" spans="1:76" ht="23.25" customHeight="1">
      <c r="A48" t="s">
        <v>56</v>
      </c>
      <c r="B48" s="412" t="s">
        <v>571</v>
      </c>
      <c r="C48" s="411"/>
      <c r="D48" t="s">
        <v>56</v>
      </c>
      <c r="E48" s="412" t="s">
        <v>563</v>
      </c>
      <c r="F48" s="411"/>
      <c r="G48" s="411"/>
      <c r="H48" s="411"/>
      <c r="I48" s="411"/>
      <c r="J48" s="411"/>
      <c r="K48" s="411"/>
      <c r="L48" s="411"/>
      <c r="M48" s="384">
        <v>20</v>
      </c>
      <c r="N48" s="384"/>
      <c r="O48" s="412" t="s">
        <v>294</v>
      </c>
      <c r="P48" s="411"/>
      <c r="Q48" t="s">
        <v>57</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BO48" s="7"/>
      <c r="BP48" s="7"/>
      <c r="BQ48" s="7"/>
      <c r="BR48" s="7"/>
      <c r="BS48" s="7"/>
      <c r="BT48" s="7"/>
      <c r="BU48" s="7"/>
      <c r="BV48" s="7"/>
      <c r="BW48" s="7"/>
      <c r="BX48" s="7"/>
    </row>
    <row r="49" spans="1:76" ht="7.5" customHeight="1" hidden="1" thickBo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BO49" s="7"/>
      <c r="BP49" s="7"/>
      <c r="BQ49" s="7"/>
      <c r="BR49" s="7"/>
      <c r="BS49" s="7"/>
      <c r="BT49" s="7"/>
      <c r="BU49" s="7"/>
      <c r="BV49" s="7"/>
      <c r="BW49" s="7"/>
      <c r="BX49" s="7"/>
    </row>
    <row r="50" spans="1:73" ht="15.75" customHeight="1" hidden="1">
      <c r="A50" s="18" t="s">
        <v>201</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20"/>
      <c r="AW50" s="7"/>
      <c r="AX50" s="7"/>
      <c r="AY50" s="7"/>
      <c r="AZ50" s="7"/>
      <c r="BA50" s="7"/>
      <c r="BB50" s="7"/>
      <c r="BC50" s="7"/>
      <c r="BD50" s="7"/>
      <c r="BE50" s="7"/>
      <c r="BF50" s="7"/>
      <c r="BG50" s="7"/>
      <c r="BH50" s="7"/>
      <c r="BI50" s="7"/>
      <c r="BJ50" s="7"/>
      <c r="BK50" s="7"/>
      <c r="BL50" s="7"/>
      <c r="BM50" s="7"/>
      <c r="BN50" s="7"/>
      <c r="BO50" s="7"/>
      <c r="BP50" s="7"/>
      <c r="BQ50" s="7"/>
      <c r="BR50" s="7"/>
      <c r="BS50" s="7"/>
      <c r="BT50" s="7"/>
      <c r="BU50" s="7"/>
    </row>
    <row r="51" spans="1:73" ht="15" customHeight="1" hidden="1">
      <c r="A51" s="595"/>
      <c r="B51" s="596"/>
      <c r="C51" s="596"/>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7"/>
      <c r="BQ51" s="7"/>
      <c r="BR51" s="7"/>
      <c r="BS51" s="7"/>
      <c r="BT51" s="7"/>
      <c r="BU51" s="7"/>
    </row>
    <row r="52" spans="1:77" s="33" customFormat="1" ht="9.75" customHeight="1" hidden="1">
      <c r="A52" s="598" t="s">
        <v>202</v>
      </c>
      <c r="B52" s="599"/>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600"/>
      <c r="BQ52" s="35"/>
      <c r="BR52" s="35"/>
      <c r="BS52" s="35"/>
      <c r="BT52" s="35"/>
      <c r="BU52" s="35"/>
      <c r="BV52" s="35"/>
      <c r="BW52" s="35"/>
      <c r="BX52" s="35"/>
      <c r="BY52" s="35"/>
    </row>
    <row r="53" spans="1:77" ht="15" customHeight="1" hidden="1">
      <c r="A53" s="588"/>
      <c r="B53" s="589"/>
      <c r="C53" s="589"/>
      <c r="D53" s="589"/>
      <c r="E53" s="589"/>
      <c r="F53" s="589"/>
      <c r="G53" s="589"/>
      <c r="H53" s="589"/>
      <c r="I53" s="589"/>
      <c r="J53" s="589"/>
      <c r="K53" s="589"/>
      <c r="L53" s="589"/>
      <c r="M53" s="589"/>
      <c r="N53" s="589"/>
      <c r="O53" s="589"/>
      <c r="P53" s="589"/>
      <c r="Q53" s="589"/>
      <c r="R53" s="11"/>
      <c r="S53" s="11"/>
      <c r="T53" s="11"/>
      <c r="U53" s="11"/>
      <c r="V53" s="11"/>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592"/>
      <c r="AW53" s="10"/>
      <c r="AX53" s="10"/>
      <c r="AY53" s="10"/>
      <c r="AZ53" s="10"/>
      <c r="BA53" s="10"/>
      <c r="BB53" s="10"/>
      <c r="BC53" s="10"/>
      <c r="BD53" s="10"/>
      <c r="BE53" s="10"/>
      <c r="BF53" s="10"/>
      <c r="BG53" s="10"/>
      <c r="BH53" s="10"/>
      <c r="BI53" s="10"/>
      <c r="BJ53" s="10"/>
      <c r="BK53" s="10"/>
      <c r="BL53" s="10"/>
      <c r="BM53" s="10"/>
      <c r="BN53" s="10"/>
      <c r="BO53" s="10"/>
      <c r="BP53" s="10"/>
      <c r="BQ53" s="10"/>
      <c r="BR53" s="10"/>
      <c r="BS53" s="11"/>
      <c r="BT53" s="11"/>
      <c r="BU53" s="11"/>
      <c r="BV53" s="11"/>
      <c r="BW53" s="11"/>
      <c r="BX53" s="11"/>
      <c r="BY53" s="1"/>
    </row>
    <row r="54" spans="1:77" s="33" customFormat="1" ht="9.75" customHeight="1" hidden="1">
      <c r="A54" s="590" t="s">
        <v>54</v>
      </c>
      <c r="B54" s="591"/>
      <c r="C54" s="591"/>
      <c r="D54" s="591"/>
      <c r="E54" s="591"/>
      <c r="F54" s="591"/>
      <c r="G54" s="591"/>
      <c r="H54" s="591"/>
      <c r="I54" s="591"/>
      <c r="J54" s="591"/>
      <c r="K54" s="591"/>
      <c r="L54" s="591"/>
      <c r="M54" s="591"/>
      <c r="N54" s="591"/>
      <c r="O54" s="591"/>
      <c r="P54" s="591"/>
      <c r="Q54" s="591"/>
      <c r="R54" s="35"/>
      <c r="S54" s="35"/>
      <c r="T54" s="35"/>
      <c r="U54" s="35"/>
      <c r="V54" s="35"/>
      <c r="W54" s="591" t="s">
        <v>55</v>
      </c>
      <c r="X54" s="591"/>
      <c r="Y54" s="591"/>
      <c r="Z54" s="591"/>
      <c r="AA54" s="591"/>
      <c r="AB54" s="591"/>
      <c r="AC54" s="591"/>
      <c r="AD54" s="591"/>
      <c r="AE54" s="591"/>
      <c r="AF54" s="591"/>
      <c r="AG54" s="591"/>
      <c r="AH54" s="591"/>
      <c r="AI54" s="591"/>
      <c r="AJ54" s="591"/>
      <c r="AK54" s="591"/>
      <c r="AL54" s="591"/>
      <c r="AM54" s="591"/>
      <c r="AN54" s="591"/>
      <c r="AO54" s="591"/>
      <c r="AP54" s="591"/>
      <c r="AQ54" s="591"/>
      <c r="AR54" s="591"/>
      <c r="AS54" s="591"/>
      <c r="AT54" s="591"/>
      <c r="AU54" s="591"/>
      <c r="AV54" s="593"/>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BT54" s="35"/>
      <c r="BU54" s="35"/>
      <c r="BV54" s="35"/>
      <c r="BW54" s="35"/>
      <c r="BX54" s="35"/>
      <c r="BY54" s="35"/>
    </row>
    <row r="55" spans="1:76" ht="12.75" customHeight="1" hidden="1">
      <c r="A55" s="22" t="s">
        <v>56</v>
      </c>
      <c r="B55" s="411"/>
      <c r="C55" s="411"/>
      <c r="D55" s="1" t="s">
        <v>56</v>
      </c>
      <c r="E55" s="411"/>
      <c r="F55" s="411"/>
      <c r="G55" s="411"/>
      <c r="H55" s="411"/>
      <c r="I55" s="411"/>
      <c r="J55" s="411"/>
      <c r="K55" s="411"/>
      <c r="L55" s="411"/>
      <c r="M55" s="594">
        <v>20</v>
      </c>
      <c r="N55" s="594"/>
      <c r="O55" s="411"/>
      <c r="P55" s="411"/>
      <c r="Q55" s="1" t="s">
        <v>57</v>
      </c>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21"/>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row>
    <row r="56" spans="1:76" ht="5.25" customHeight="1" hidden="1" thickBot="1">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5"/>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row>
    <row r="57" spans="1:76" ht="9" customHeight="1" hidden="1">
      <c r="A57" s="26"/>
      <c r="B57" s="26"/>
      <c r="C57" s="26"/>
      <c r="D57" s="26"/>
      <c r="E57" s="26"/>
      <c r="F57" s="26"/>
      <c r="G57" s="26"/>
      <c r="H57" s="26"/>
      <c r="I57" s="26"/>
      <c r="J57" s="26"/>
      <c r="K57" s="26"/>
      <c r="L57" s="26"/>
      <c r="M57" s="26"/>
      <c r="N57" s="26"/>
      <c r="O57" s="26"/>
      <c r="P57" s="26"/>
      <c r="Q57" s="26"/>
      <c r="R57" s="26"/>
      <c r="S57" s="26"/>
      <c r="T57" s="26"/>
      <c r="U57" s="26"/>
      <c r="V57" s="26"/>
      <c r="W57" s="26"/>
      <c r="X57" s="26"/>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s="32" customFormat="1" ht="9.75" customHeight="1">
      <c r="A58" s="463" t="s">
        <v>245</v>
      </c>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4"/>
      <c r="AY58" s="464"/>
      <c r="AZ58" s="464"/>
      <c r="BA58" s="464"/>
      <c r="BB58" s="464"/>
      <c r="BC58" s="464"/>
      <c r="BD58" s="464"/>
      <c r="BE58" s="464"/>
      <c r="BF58" s="464"/>
      <c r="BG58" s="464"/>
      <c r="BH58" s="464"/>
      <c r="BI58" s="464"/>
      <c r="BJ58" s="464"/>
      <c r="BK58" s="464"/>
      <c r="BL58" s="464"/>
      <c r="BM58" s="464"/>
      <c r="BN58" s="464"/>
      <c r="BO58" s="464"/>
      <c r="BP58" s="464"/>
      <c r="BQ58" s="464"/>
      <c r="BR58" s="464"/>
      <c r="BS58" s="464"/>
      <c r="BT58" s="464"/>
      <c r="BU58" s="464"/>
      <c r="BV58" s="464"/>
      <c r="BW58" s="464"/>
      <c r="BX58" s="464"/>
    </row>
    <row r="59" spans="1:76" s="32" customFormat="1" ht="41.25" customHeight="1">
      <c r="A59" s="463" t="s">
        <v>246</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4"/>
      <c r="AY59" s="464"/>
      <c r="AZ59" s="464"/>
      <c r="BA59" s="464"/>
      <c r="BB59" s="464"/>
      <c r="BC59" s="464"/>
      <c r="BD59" s="464"/>
      <c r="BE59" s="464"/>
      <c r="BF59" s="464"/>
      <c r="BG59" s="464"/>
      <c r="BH59" s="464"/>
      <c r="BI59" s="464"/>
      <c r="BJ59" s="464"/>
      <c r="BK59" s="464"/>
      <c r="BL59" s="464"/>
      <c r="BM59" s="464"/>
      <c r="BN59" s="464"/>
      <c r="BO59" s="464"/>
      <c r="BP59" s="464"/>
      <c r="BQ59" s="464"/>
      <c r="BR59" s="464"/>
      <c r="BS59" s="464"/>
      <c r="BT59" s="464"/>
      <c r="BU59" s="464"/>
      <c r="BV59" s="464"/>
      <c r="BW59" s="464"/>
      <c r="BX59" s="464"/>
    </row>
    <row r="60" spans="1:76" s="32" customFormat="1" ht="19.5" customHeight="1">
      <c r="A60" s="463" t="s">
        <v>289</v>
      </c>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464"/>
      <c r="AM60" s="464"/>
      <c r="AN60" s="464"/>
      <c r="AO60" s="464"/>
      <c r="AP60" s="464"/>
      <c r="AQ60" s="464"/>
      <c r="AR60" s="464"/>
      <c r="AS60" s="464"/>
      <c r="AT60" s="464"/>
      <c r="AU60" s="464"/>
      <c r="AV60" s="464"/>
      <c r="AW60" s="464"/>
      <c r="AX60" s="464"/>
      <c r="AY60" s="464"/>
      <c r="AZ60" s="464"/>
      <c r="BA60" s="464"/>
      <c r="BB60" s="464"/>
      <c r="BC60" s="464"/>
      <c r="BD60" s="464"/>
      <c r="BE60" s="464"/>
      <c r="BF60" s="464"/>
      <c r="BG60" s="464"/>
      <c r="BH60" s="464"/>
      <c r="BI60" s="464"/>
      <c r="BJ60" s="464"/>
      <c r="BK60" s="464"/>
      <c r="BL60" s="464"/>
      <c r="BM60" s="464"/>
      <c r="BN60" s="464"/>
      <c r="BO60" s="464"/>
      <c r="BP60" s="464"/>
      <c r="BQ60" s="464"/>
      <c r="BR60" s="464"/>
      <c r="BS60" s="464"/>
      <c r="BT60" s="464"/>
      <c r="BU60" s="464"/>
      <c r="BV60" s="464"/>
      <c r="BW60" s="464"/>
      <c r="BX60" s="464"/>
    </row>
    <row r="61" spans="1:76" s="32" customFormat="1" ht="32.25" customHeight="1">
      <c r="A61" s="463" t="s">
        <v>266</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4"/>
      <c r="AY61" s="464"/>
      <c r="AZ61" s="464"/>
      <c r="BA61" s="464"/>
      <c r="BB61" s="464"/>
      <c r="BC61" s="464"/>
      <c r="BD61" s="464"/>
      <c r="BE61" s="464"/>
      <c r="BF61" s="464"/>
      <c r="BG61" s="464"/>
      <c r="BH61" s="464"/>
      <c r="BI61" s="464"/>
      <c r="BJ61" s="464"/>
      <c r="BK61" s="464"/>
      <c r="BL61" s="464"/>
      <c r="BM61" s="464"/>
      <c r="BN61" s="464"/>
      <c r="BO61" s="464"/>
      <c r="BP61" s="464"/>
      <c r="BQ61" s="464"/>
      <c r="BR61" s="464"/>
      <c r="BS61" s="464"/>
      <c r="BT61" s="464"/>
      <c r="BU61" s="464"/>
      <c r="BV61" s="464"/>
      <c r="BW61" s="464"/>
      <c r="BX61" s="464"/>
    </row>
    <row r="62" spans="1:76" s="32" customFormat="1" ht="9.75" customHeight="1">
      <c r="A62" s="463" t="s">
        <v>247</v>
      </c>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4"/>
      <c r="AY62" s="464"/>
      <c r="AZ62" s="464"/>
      <c r="BA62" s="464"/>
      <c r="BB62" s="464"/>
      <c r="BC62" s="464"/>
      <c r="BD62" s="464"/>
      <c r="BE62" s="464"/>
      <c r="BF62" s="464"/>
      <c r="BG62" s="464"/>
      <c r="BH62" s="464"/>
      <c r="BI62" s="464"/>
      <c r="BJ62" s="464"/>
      <c r="BK62" s="464"/>
      <c r="BL62" s="464"/>
      <c r="BM62" s="464"/>
      <c r="BN62" s="464"/>
      <c r="BO62" s="464"/>
      <c r="BP62" s="464"/>
      <c r="BQ62" s="464"/>
      <c r="BR62" s="464"/>
      <c r="BS62" s="464"/>
      <c r="BT62" s="464"/>
      <c r="BU62" s="464"/>
      <c r="BV62" s="464"/>
      <c r="BW62" s="464"/>
      <c r="BX62" s="464"/>
    </row>
    <row r="63" spans="1:76" s="32" customFormat="1" ht="9.75" customHeight="1">
      <c r="A63" s="581" t="s">
        <v>248</v>
      </c>
      <c r="B63" s="582"/>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582"/>
      <c r="AY63" s="582"/>
      <c r="AZ63" s="582"/>
      <c r="BA63" s="582"/>
      <c r="BB63" s="582"/>
      <c r="BC63" s="582"/>
      <c r="BD63" s="582"/>
      <c r="BE63" s="582"/>
      <c r="BF63" s="582"/>
      <c r="BG63" s="582"/>
      <c r="BH63" s="582"/>
      <c r="BI63" s="582"/>
      <c r="BJ63" s="582"/>
      <c r="BK63" s="582"/>
      <c r="BL63" s="582"/>
      <c r="BM63" s="582"/>
      <c r="BN63" s="582"/>
      <c r="BO63" s="582"/>
      <c r="BP63" s="582"/>
      <c r="BQ63" s="582"/>
      <c r="BR63" s="582"/>
      <c r="BS63" s="582"/>
      <c r="BT63" s="582"/>
      <c r="BU63" s="582"/>
      <c r="BV63" s="582"/>
      <c r="BW63" s="582"/>
      <c r="BX63" s="582"/>
    </row>
    <row r="64" spans="1:76" s="32" customFormat="1" ht="9.75" customHeight="1">
      <c r="A64" s="581" t="s">
        <v>249</v>
      </c>
      <c r="B64" s="582"/>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2"/>
      <c r="AY64" s="582"/>
      <c r="AZ64" s="582"/>
      <c r="BA64" s="582"/>
      <c r="BB64" s="582"/>
      <c r="BC64" s="582"/>
      <c r="BD64" s="582"/>
      <c r="BE64" s="582"/>
      <c r="BF64" s="582"/>
      <c r="BG64" s="582"/>
      <c r="BH64" s="582"/>
      <c r="BI64" s="582"/>
      <c r="BJ64" s="582"/>
      <c r="BK64" s="582"/>
      <c r="BL64" s="582"/>
      <c r="BM64" s="582"/>
      <c r="BN64" s="582"/>
      <c r="BO64" s="582"/>
      <c r="BP64" s="582"/>
      <c r="BQ64" s="582"/>
      <c r="BR64" s="582"/>
      <c r="BS64" s="582"/>
      <c r="BT64" s="582"/>
      <c r="BU64" s="582"/>
      <c r="BV64" s="582"/>
      <c r="BW64" s="582"/>
      <c r="BX64" s="582"/>
    </row>
    <row r="65" spans="1:76" s="32" customFormat="1" ht="9.75" customHeight="1">
      <c r="A65" s="581" t="s">
        <v>250</v>
      </c>
      <c r="B65" s="582"/>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2"/>
      <c r="AL65" s="582"/>
      <c r="AM65" s="582"/>
      <c r="AN65" s="582"/>
      <c r="AO65" s="582"/>
      <c r="AP65" s="582"/>
      <c r="AQ65" s="582"/>
      <c r="AR65" s="582"/>
      <c r="AS65" s="582"/>
      <c r="AT65" s="582"/>
      <c r="AU65" s="582"/>
      <c r="AV65" s="582"/>
      <c r="AW65" s="582"/>
      <c r="AX65" s="582"/>
      <c r="AY65" s="582"/>
      <c r="AZ65" s="582"/>
      <c r="BA65" s="582"/>
      <c r="BB65" s="582"/>
      <c r="BC65" s="582"/>
      <c r="BD65" s="582"/>
      <c r="BE65" s="582"/>
      <c r="BF65" s="582"/>
      <c r="BG65" s="582"/>
      <c r="BH65" s="582"/>
      <c r="BI65" s="582"/>
      <c r="BJ65" s="582"/>
      <c r="BK65" s="582"/>
      <c r="BL65" s="582"/>
      <c r="BM65" s="582"/>
      <c r="BN65" s="582"/>
      <c r="BO65" s="582"/>
      <c r="BP65" s="582"/>
      <c r="BQ65" s="582"/>
      <c r="BR65" s="582"/>
      <c r="BS65" s="582"/>
      <c r="BT65" s="582"/>
      <c r="BU65" s="582"/>
      <c r="BV65" s="582"/>
      <c r="BW65" s="582"/>
      <c r="BX65" s="582"/>
    </row>
    <row r="66" spans="1:76" s="32" customFormat="1" ht="19.5" customHeight="1">
      <c r="A66" s="463" t="s">
        <v>251</v>
      </c>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64"/>
      <c r="AV66" s="464"/>
      <c r="AW66" s="464"/>
      <c r="AX66" s="464"/>
      <c r="AY66" s="464"/>
      <c r="AZ66" s="464"/>
      <c r="BA66" s="464"/>
      <c r="BB66" s="464"/>
      <c r="BC66" s="464"/>
      <c r="BD66" s="464"/>
      <c r="BE66" s="464"/>
      <c r="BF66" s="464"/>
      <c r="BG66" s="464"/>
      <c r="BH66" s="464"/>
      <c r="BI66" s="464"/>
      <c r="BJ66" s="464"/>
      <c r="BK66" s="464"/>
      <c r="BL66" s="464"/>
      <c r="BM66" s="464"/>
      <c r="BN66" s="464"/>
      <c r="BO66" s="464"/>
      <c r="BP66" s="464"/>
      <c r="BQ66" s="464"/>
      <c r="BR66" s="464"/>
      <c r="BS66" s="464"/>
      <c r="BT66" s="464"/>
      <c r="BU66" s="464"/>
      <c r="BV66" s="464"/>
      <c r="BW66" s="464"/>
      <c r="BX66" s="464"/>
    </row>
    <row r="67" spans="1:76" ht="3.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row>
  </sheetData>
  <sheetProtection/>
  <mergeCells count="397">
    <mergeCell ref="A42:T42"/>
    <mergeCell ref="AS43:BI43"/>
    <mergeCell ref="X45:AN45"/>
    <mergeCell ref="X46:AN46"/>
    <mergeCell ref="W43:AG43"/>
    <mergeCell ref="AI43:AQ43"/>
    <mergeCell ref="AP45:AX45"/>
    <mergeCell ref="AP46:AX46"/>
    <mergeCell ref="L45:V45"/>
    <mergeCell ref="L46:V46"/>
    <mergeCell ref="A51:AV51"/>
    <mergeCell ref="A52:AV52"/>
    <mergeCell ref="B48:C48"/>
    <mergeCell ref="E48:L48"/>
    <mergeCell ref="M48:N48"/>
    <mergeCell ref="O48:P48"/>
    <mergeCell ref="A53:Q53"/>
    <mergeCell ref="A54:Q54"/>
    <mergeCell ref="W53:AV53"/>
    <mergeCell ref="W54:AV54"/>
    <mergeCell ref="B55:C55"/>
    <mergeCell ref="E55:L55"/>
    <mergeCell ref="M55:N55"/>
    <mergeCell ref="O55:P55"/>
    <mergeCell ref="A58:BX58"/>
    <mergeCell ref="A61:BX61"/>
    <mergeCell ref="A62:BX62"/>
    <mergeCell ref="A63:BX63"/>
    <mergeCell ref="A59:BX59"/>
    <mergeCell ref="A64:BX64"/>
    <mergeCell ref="A65:BX65"/>
    <mergeCell ref="A66:BX66"/>
    <mergeCell ref="A1:BX1"/>
    <mergeCell ref="D6:AA6"/>
    <mergeCell ref="AB6:AE6"/>
    <mergeCell ref="AW6:BC6"/>
    <mergeCell ref="BD6:BJ6"/>
    <mergeCell ref="BK6:BQ6"/>
    <mergeCell ref="BD4:BF4"/>
    <mergeCell ref="BG4:BH4"/>
    <mergeCell ref="BN4:BO4"/>
    <mergeCell ref="AF3:AI5"/>
    <mergeCell ref="AW3:BX3"/>
    <mergeCell ref="AW4:AY4"/>
    <mergeCell ref="AZ4:BA4"/>
    <mergeCell ref="BB4:BC4"/>
    <mergeCell ref="BP4:BQ4"/>
    <mergeCell ref="BR4:BX5"/>
    <mergeCell ref="AW5:BC5"/>
    <mergeCell ref="BD5:BJ5"/>
    <mergeCell ref="BK5:BQ5"/>
    <mergeCell ref="A3:C5"/>
    <mergeCell ref="A6:C6"/>
    <mergeCell ref="D3:AA5"/>
    <mergeCell ref="AB3:AE5"/>
    <mergeCell ref="AQ6:AV6"/>
    <mergeCell ref="BI4:BJ4"/>
    <mergeCell ref="BK4:BM4"/>
    <mergeCell ref="AJ3:AP5"/>
    <mergeCell ref="AJ6:AP6"/>
    <mergeCell ref="BR6:BX6"/>
    <mergeCell ref="A7:C7"/>
    <mergeCell ref="D7:AA7"/>
    <mergeCell ref="AB7:AE7"/>
    <mergeCell ref="AF7:AI7"/>
    <mergeCell ref="AW7:BC7"/>
    <mergeCell ref="BD7:BJ7"/>
    <mergeCell ref="BK7:BQ7"/>
    <mergeCell ref="BR7:BX7"/>
    <mergeCell ref="AF6:AI6"/>
    <mergeCell ref="A8:C8"/>
    <mergeCell ref="D8:AA8"/>
    <mergeCell ref="AB8:AE8"/>
    <mergeCell ref="AF8:AI8"/>
    <mergeCell ref="AW8:BC8"/>
    <mergeCell ref="BD8:BJ8"/>
    <mergeCell ref="BK8:BQ8"/>
    <mergeCell ref="BR8:BX8"/>
    <mergeCell ref="A9:C9"/>
    <mergeCell ref="D9:AA9"/>
    <mergeCell ref="AB9:AE9"/>
    <mergeCell ref="AF9:AI9"/>
    <mergeCell ref="AW9:BC9"/>
    <mergeCell ref="BD9:BJ9"/>
    <mergeCell ref="BK9:BQ9"/>
    <mergeCell ref="BR9:BX9"/>
    <mergeCell ref="A10:C10"/>
    <mergeCell ref="D10:AA10"/>
    <mergeCell ref="AB10:AE10"/>
    <mergeCell ref="AF10:AI10"/>
    <mergeCell ref="AW10:BC10"/>
    <mergeCell ref="BD10:BJ10"/>
    <mergeCell ref="BK10:BQ10"/>
    <mergeCell ref="BR10:BX10"/>
    <mergeCell ref="A17:C17"/>
    <mergeCell ref="D17:AA17"/>
    <mergeCell ref="AB17:AE17"/>
    <mergeCell ref="AF17:AI17"/>
    <mergeCell ref="AW17:BC17"/>
    <mergeCell ref="BD17:BJ17"/>
    <mergeCell ref="BK17:BQ17"/>
    <mergeCell ref="BR17:BX17"/>
    <mergeCell ref="A18:C18"/>
    <mergeCell ref="D18:AA18"/>
    <mergeCell ref="AB18:AE18"/>
    <mergeCell ref="AF18:AI18"/>
    <mergeCell ref="AW18:BC18"/>
    <mergeCell ref="BD18:BJ18"/>
    <mergeCell ref="BK18:BQ18"/>
    <mergeCell ref="BR18:BX18"/>
    <mergeCell ref="A19:C19"/>
    <mergeCell ref="D19:AA19"/>
    <mergeCell ref="AB19:AE19"/>
    <mergeCell ref="AF19:AI19"/>
    <mergeCell ref="AW19:BC19"/>
    <mergeCell ref="BD19:BJ19"/>
    <mergeCell ref="BK19:BQ19"/>
    <mergeCell ref="BR19:BX19"/>
    <mergeCell ref="A20:C20"/>
    <mergeCell ref="D20:AA20"/>
    <mergeCell ref="AB20:AE20"/>
    <mergeCell ref="AF20:AI20"/>
    <mergeCell ref="AW20:BC20"/>
    <mergeCell ref="BD20:BJ20"/>
    <mergeCell ref="AQ20:AV20"/>
    <mergeCell ref="BK20:BQ20"/>
    <mergeCell ref="BR20:BX20"/>
    <mergeCell ref="A21:C21"/>
    <mergeCell ref="D21:AA21"/>
    <mergeCell ref="AB21:AE21"/>
    <mergeCell ref="AF21:AI21"/>
    <mergeCell ref="AW21:BC21"/>
    <mergeCell ref="BD21:BJ21"/>
    <mergeCell ref="BK21:BQ21"/>
    <mergeCell ref="BR21:BX21"/>
    <mergeCell ref="A22:C22"/>
    <mergeCell ref="D22:AA22"/>
    <mergeCell ref="AB22:AE22"/>
    <mergeCell ref="AF22:AI22"/>
    <mergeCell ref="AW22:BC22"/>
    <mergeCell ref="BD22:BJ22"/>
    <mergeCell ref="AQ22:AV22"/>
    <mergeCell ref="BK22:BQ22"/>
    <mergeCell ref="BR22:BX22"/>
    <mergeCell ref="A24:C24"/>
    <mergeCell ref="D24:AA24"/>
    <mergeCell ref="AB24:AE24"/>
    <mergeCell ref="AF24:AI24"/>
    <mergeCell ref="AW24:BC24"/>
    <mergeCell ref="BD24:BJ24"/>
    <mergeCell ref="BK24:BQ24"/>
    <mergeCell ref="BR24:BX24"/>
    <mergeCell ref="A25:C25"/>
    <mergeCell ref="D25:AA25"/>
    <mergeCell ref="AB25:AE25"/>
    <mergeCell ref="AF25:AI25"/>
    <mergeCell ref="AW25:BC25"/>
    <mergeCell ref="BD25:BJ25"/>
    <mergeCell ref="AQ25:AV25"/>
    <mergeCell ref="BK25:BQ25"/>
    <mergeCell ref="BR25:BX25"/>
    <mergeCell ref="A28:C28"/>
    <mergeCell ref="D28:AA28"/>
    <mergeCell ref="AB28:AE28"/>
    <mergeCell ref="AF28:AI28"/>
    <mergeCell ref="AW28:BC28"/>
    <mergeCell ref="BD28:BJ28"/>
    <mergeCell ref="BK28:BQ28"/>
    <mergeCell ref="BR28:BX28"/>
    <mergeCell ref="BR29:BX29"/>
    <mergeCell ref="A30:C30"/>
    <mergeCell ref="D30:AA30"/>
    <mergeCell ref="AB30:AE30"/>
    <mergeCell ref="AF30:AI30"/>
    <mergeCell ref="AW30:BC30"/>
    <mergeCell ref="BD30:BJ30"/>
    <mergeCell ref="BK30:BQ30"/>
    <mergeCell ref="BR30:BX30"/>
    <mergeCell ref="A29:C29"/>
    <mergeCell ref="D31:AA31"/>
    <mergeCell ref="AB31:AE31"/>
    <mergeCell ref="AF31:AI31"/>
    <mergeCell ref="AW31:BC31"/>
    <mergeCell ref="BD31:BJ31"/>
    <mergeCell ref="BK29:BQ29"/>
    <mergeCell ref="D29:AA29"/>
    <mergeCell ref="AB29:AE29"/>
    <mergeCell ref="AF29:AI29"/>
    <mergeCell ref="AW29:BC29"/>
    <mergeCell ref="BR31:BX31"/>
    <mergeCell ref="A32:C32"/>
    <mergeCell ref="D32:AA32"/>
    <mergeCell ref="AB32:AE32"/>
    <mergeCell ref="AF32:AI32"/>
    <mergeCell ref="AW32:BC32"/>
    <mergeCell ref="BD32:BJ32"/>
    <mergeCell ref="BK32:BQ32"/>
    <mergeCell ref="BR32:BX32"/>
    <mergeCell ref="A31:C31"/>
    <mergeCell ref="A35:C35"/>
    <mergeCell ref="D35:AA35"/>
    <mergeCell ref="AB35:AE35"/>
    <mergeCell ref="AF35:AI35"/>
    <mergeCell ref="AW35:BC35"/>
    <mergeCell ref="BD35:BJ35"/>
    <mergeCell ref="BK35:BQ35"/>
    <mergeCell ref="BR35:BX35"/>
    <mergeCell ref="A36:C36"/>
    <mergeCell ref="D36:AA36"/>
    <mergeCell ref="AB36:AE36"/>
    <mergeCell ref="AF36:AI36"/>
    <mergeCell ref="AW36:BC36"/>
    <mergeCell ref="BD36:BJ36"/>
    <mergeCell ref="BK36:BQ36"/>
    <mergeCell ref="BR36:BX36"/>
    <mergeCell ref="A37:C37"/>
    <mergeCell ref="D37:AA37"/>
    <mergeCell ref="AB37:AE37"/>
    <mergeCell ref="AF37:AI37"/>
    <mergeCell ref="AW37:BC37"/>
    <mergeCell ref="BD37:BJ37"/>
    <mergeCell ref="AQ37:AV37"/>
    <mergeCell ref="BK37:BQ37"/>
    <mergeCell ref="BR37:BX37"/>
    <mergeCell ref="A38:C38"/>
    <mergeCell ref="D38:AA38"/>
    <mergeCell ref="AB38:AE38"/>
    <mergeCell ref="AF38:AI38"/>
    <mergeCell ref="AW38:BC38"/>
    <mergeCell ref="BD38:BJ38"/>
    <mergeCell ref="BK38:BQ38"/>
    <mergeCell ref="BR38:BX38"/>
    <mergeCell ref="BK39:BQ39"/>
    <mergeCell ref="BR39:BX39"/>
    <mergeCell ref="A39:C39"/>
    <mergeCell ref="D39:AA39"/>
    <mergeCell ref="AB39:AE39"/>
    <mergeCell ref="AF39:AI39"/>
    <mergeCell ref="AJ15:AP15"/>
    <mergeCell ref="BD39:BJ39"/>
    <mergeCell ref="AJ35:AP35"/>
    <mergeCell ref="AJ24:AP24"/>
    <mergeCell ref="AQ24:AV24"/>
    <mergeCell ref="AJ25:AP25"/>
    <mergeCell ref="BD29:BJ29"/>
    <mergeCell ref="AJ26:AP26"/>
    <mergeCell ref="AQ26:AV26"/>
    <mergeCell ref="AJ28:AP28"/>
    <mergeCell ref="AQ3:AV5"/>
    <mergeCell ref="AJ22:AP22"/>
    <mergeCell ref="AJ9:AP9"/>
    <mergeCell ref="AJ10:AP10"/>
    <mergeCell ref="AJ13:AP13"/>
    <mergeCell ref="AJ17:AP17"/>
    <mergeCell ref="AJ20:AP20"/>
    <mergeCell ref="AQ17:AV17"/>
    <mergeCell ref="AJ21:AP21"/>
    <mergeCell ref="AQ21:AV21"/>
    <mergeCell ref="AQ28:AV28"/>
    <mergeCell ref="AJ31:AP31"/>
    <mergeCell ref="AQ31:AV31"/>
    <mergeCell ref="AJ29:AP29"/>
    <mergeCell ref="AQ29:AV29"/>
    <mergeCell ref="AJ30:AP30"/>
    <mergeCell ref="AQ30:AV30"/>
    <mergeCell ref="AJ32:AP32"/>
    <mergeCell ref="AQ32:AV32"/>
    <mergeCell ref="A11:C11"/>
    <mergeCell ref="D11:AA11"/>
    <mergeCell ref="AB11:AE11"/>
    <mergeCell ref="AF11:AI11"/>
    <mergeCell ref="A16:C16"/>
    <mergeCell ref="D16:AA16"/>
    <mergeCell ref="AB16:AE16"/>
    <mergeCell ref="AF16:AI16"/>
    <mergeCell ref="AW11:BC11"/>
    <mergeCell ref="BD11:BJ11"/>
    <mergeCell ref="BK11:BQ11"/>
    <mergeCell ref="BR11:BX11"/>
    <mergeCell ref="BD16:BJ16"/>
    <mergeCell ref="BK16:BQ16"/>
    <mergeCell ref="BR16:BX16"/>
    <mergeCell ref="AW12:BC12"/>
    <mergeCell ref="BD12:BJ12"/>
    <mergeCell ref="BK12:BQ12"/>
    <mergeCell ref="A12:C12"/>
    <mergeCell ref="D12:AA12"/>
    <mergeCell ref="AB12:AE12"/>
    <mergeCell ref="AF12:AI12"/>
    <mergeCell ref="BR12:BX12"/>
    <mergeCell ref="A13:C13"/>
    <mergeCell ref="D13:AA13"/>
    <mergeCell ref="AB13:AE13"/>
    <mergeCell ref="AF13:AI13"/>
    <mergeCell ref="AW13:BC13"/>
    <mergeCell ref="BD13:BJ13"/>
    <mergeCell ref="BK13:BQ13"/>
    <mergeCell ref="BR13:BX13"/>
    <mergeCell ref="AQ13:AV13"/>
    <mergeCell ref="AJ23:AP23"/>
    <mergeCell ref="AQ23:AV23"/>
    <mergeCell ref="AW14:BC14"/>
    <mergeCell ref="BD14:BJ14"/>
    <mergeCell ref="BK14:BQ14"/>
    <mergeCell ref="BR14:BX14"/>
    <mergeCell ref="A23:C23"/>
    <mergeCell ref="D23:AA23"/>
    <mergeCell ref="AB23:AE23"/>
    <mergeCell ref="AF23:AI23"/>
    <mergeCell ref="BR23:BX23"/>
    <mergeCell ref="A26:C26"/>
    <mergeCell ref="D26:AA26"/>
    <mergeCell ref="AB26:AE26"/>
    <mergeCell ref="AF26:AI26"/>
    <mergeCell ref="AW26:BC26"/>
    <mergeCell ref="BD26:BJ26"/>
    <mergeCell ref="BK26:BQ26"/>
    <mergeCell ref="BR26:BX26"/>
    <mergeCell ref="AW23:BC23"/>
    <mergeCell ref="BK33:BQ33"/>
    <mergeCell ref="BR33:BX33"/>
    <mergeCell ref="BD23:BJ23"/>
    <mergeCell ref="BK23:BQ23"/>
    <mergeCell ref="AW27:BC27"/>
    <mergeCell ref="BK31:BQ31"/>
    <mergeCell ref="A33:C33"/>
    <mergeCell ref="D33:AA33"/>
    <mergeCell ref="AB33:AE33"/>
    <mergeCell ref="AF33:AI33"/>
    <mergeCell ref="AJ33:AP33"/>
    <mergeCell ref="AQ33:AV33"/>
    <mergeCell ref="W41:AG42"/>
    <mergeCell ref="AI41:AQ42"/>
    <mergeCell ref="AS41:BI42"/>
    <mergeCell ref="AW33:BC33"/>
    <mergeCell ref="BD33:BJ33"/>
    <mergeCell ref="AW39:BC39"/>
    <mergeCell ref="AQ35:AV35"/>
    <mergeCell ref="AJ36:AP36"/>
    <mergeCell ref="AQ36:AV36"/>
    <mergeCell ref="AJ37:AP37"/>
    <mergeCell ref="AJ7:AP7"/>
    <mergeCell ref="AJ8:AP8"/>
    <mergeCell ref="AQ9:AV9"/>
    <mergeCell ref="AQ7:AV7"/>
    <mergeCell ref="AQ8:AV8"/>
    <mergeCell ref="AQ10:AV10"/>
    <mergeCell ref="AJ11:AP11"/>
    <mergeCell ref="AQ11:AV11"/>
    <mergeCell ref="AJ12:AP12"/>
    <mergeCell ref="AQ12:AV12"/>
    <mergeCell ref="AJ18:AP18"/>
    <mergeCell ref="AQ18:AV18"/>
    <mergeCell ref="AJ16:AP16"/>
    <mergeCell ref="AQ16:AV16"/>
    <mergeCell ref="AJ14:AP14"/>
    <mergeCell ref="AQ14:AV14"/>
    <mergeCell ref="AJ38:AP38"/>
    <mergeCell ref="AQ38:AV38"/>
    <mergeCell ref="AJ39:AP39"/>
    <mergeCell ref="AQ39:AV39"/>
    <mergeCell ref="A14:C14"/>
    <mergeCell ref="D14:AA14"/>
    <mergeCell ref="AB14:AE14"/>
    <mergeCell ref="AF14:AI14"/>
    <mergeCell ref="AJ19:AP19"/>
    <mergeCell ref="AQ19:AV19"/>
    <mergeCell ref="A15:C15"/>
    <mergeCell ref="D15:AA15"/>
    <mergeCell ref="AB15:AE15"/>
    <mergeCell ref="AF15:AI15"/>
    <mergeCell ref="BD27:BJ27"/>
    <mergeCell ref="BK27:BQ27"/>
    <mergeCell ref="AQ15:AV15"/>
    <mergeCell ref="AW15:BC15"/>
    <mergeCell ref="BD15:BJ15"/>
    <mergeCell ref="BK15:BQ15"/>
    <mergeCell ref="AW16:BC16"/>
    <mergeCell ref="BD34:BJ34"/>
    <mergeCell ref="BK34:BQ34"/>
    <mergeCell ref="BR15:BX15"/>
    <mergeCell ref="A27:C27"/>
    <mergeCell ref="D27:AA27"/>
    <mergeCell ref="AB27:AE27"/>
    <mergeCell ref="AF27:AI27"/>
    <mergeCell ref="AJ27:AP27"/>
    <mergeCell ref="AQ27:AV27"/>
    <mergeCell ref="BR34:BX34"/>
    <mergeCell ref="A60:BX60"/>
    <mergeCell ref="BR27:BX27"/>
    <mergeCell ref="A34:C34"/>
    <mergeCell ref="D34:AA34"/>
    <mergeCell ref="AB34:AE34"/>
    <mergeCell ref="AF34:AI34"/>
    <mergeCell ref="AJ34:AP34"/>
    <mergeCell ref="AQ34:AV34"/>
    <mergeCell ref="AW34:BC34"/>
  </mergeCells>
  <printOptions horizontalCentered="1"/>
  <pageMargins left="0.3937007874015748" right="0.3937007874015748" top="0.3937007874015748" bottom="0.3937007874015748" header="0" footer="0"/>
  <pageSetup fitToHeight="2" fitToWidth="1" horizontalDpi="600" verticalDpi="600" orientation="landscape" paperSize="9" scale="92" r:id="rId1"/>
  <rowBreaks count="1" manualBreakCount="1">
    <brk id="36" max="76"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dimension ref="A1:M44"/>
  <sheetViews>
    <sheetView zoomScalePageLayoutView="0" workbookViewId="0" topLeftCell="A15">
      <selection activeCell="N25" sqref="N25"/>
    </sheetView>
  </sheetViews>
  <sheetFormatPr defaultColWidth="9.33203125" defaultRowHeight="12.75"/>
  <cols>
    <col min="1" max="1" width="9.33203125" style="38" customWidth="1"/>
    <col min="2" max="2" width="17.5" style="38" customWidth="1"/>
    <col min="3" max="3" width="9.33203125" style="38" customWidth="1"/>
    <col min="4" max="4" width="16.16015625" style="38" customWidth="1"/>
    <col min="5" max="5" width="18.83203125" style="38" customWidth="1"/>
    <col min="6" max="7" width="11.66015625" style="38" customWidth="1"/>
    <col min="8" max="8" width="11" style="38" customWidth="1"/>
    <col min="9" max="9" width="14.33203125" style="38" customWidth="1"/>
    <col min="10" max="10" width="14.83203125" style="38" customWidth="1"/>
    <col min="11" max="11" width="14.5" style="38" customWidth="1"/>
    <col min="12" max="12" width="13.33203125" style="38" bestFit="1" customWidth="1"/>
    <col min="13" max="13" width="11.66015625" style="38" bestFit="1" customWidth="1"/>
    <col min="14" max="16384" width="9.33203125" style="38" customWidth="1"/>
  </cols>
  <sheetData>
    <row r="1" spans="1:10" ht="14.25">
      <c r="A1" s="611" t="s">
        <v>303</v>
      </c>
      <c r="B1" s="611"/>
      <c r="C1" s="611"/>
      <c r="D1" s="611"/>
      <c r="E1" s="611"/>
      <c r="F1" s="611"/>
      <c r="G1" s="611"/>
      <c r="H1" s="611"/>
      <c r="I1" s="611"/>
      <c r="J1" s="611"/>
    </row>
    <row r="2" spans="1:8" ht="14.25">
      <c r="A2" s="612" t="s">
        <v>304</v>
      </c>
      <c r="B2" s="612"/>
      <c r="C2" s="612"/>
      <c r="D2" s="612"/>
      <c r="E2" s="612"/>
      <c r="F2" s="612"/>
      <c r="G2" s="612"/>
      <c r="H2" s="612"/>
    </row>
    <row r="3" spans="1:8" ht="14.25">
      <c r="A3" s="39" t="s">
        <v>305</v>
      </c>
      <c r="B3" s="39"/>
      <c r="C3" s="40">
        <v>111</v>
      </c>
      <c r="D3" s="39"/>
      <c r="E3" s="39"/>
      <c r="F3" s="39"/>
      <c r="G3" s="39"/>
      <c r="H3" s="39"/>
    </row>
    <row r="4" spans="1:10" ht="46.5" customHeight="1">
      <c r="A4" s="613" t="s">
        <v>306</v>
      </c>
      <c r="B4" s="614"/>
      <c r="C4" s="614"/>
      <c r="D4" s="614"/>
      <c r="E4" s="614"/>
      <c r="F4" s="614"/>
      <c r="G4" s="614"/>
      <c r="H4" s="614"/>
      <c r="I4" s="614"/>
      <c r="J4" s="614"/>
    </row>
    <row r="5" spans="1:8" ht="14.25">
      <c r="A5" s="612" t="s">
        <v>307</v>
      </c>
      <c r="B5" s="612"/>
      <c r="C5" s="612"/>
      <c r="D5" s="612"/>
      <c r="E5" s="612"/>
      <c r="F5" s="612"/>
      <c r="G5" s="612"/>
      <c r="H5" s="612"/>
    </row>
    <row r="6" spans="1:10" ht="15">
      <c r="A6" s="603" t="s">
        <v>308</v>
      </c>
      <c r="B6" s="603" t="s">
        <v>309</v>
      </c>
      <c r="C6" s="603" t="s">
        <v>310</v>
      </c>
      <c r="D6" s="604" t="s">
        <v>311</v>
      </c>
      <c r="E6" s="605"/>
      <c r="F6" s="605"/>
      <c r="G6" s="606"/>
      <c r="H6" s="607" t="s">
        <v>312</v>
      </c>
      <c r="I6" s="607" t="s">
        <v>313</v>
      </c>
      <c r="J6" s="607" t="s">
        <v>314</v>
      </c>
    </row>
    <row r="7" spans="1:10" ht="15">
      <c r="A7" s="603"/>
      <c r="B7" s="603"/>
      <c r="C7" s="603"/>
      <c r="D7" s="603" t="s">
        <v>315</v>
      </c>
      <c r="E7" s="608" t="s">
        <v>29</v>
      </c>
      <c r="F7" s="608"/>
      <c r="G7" s="608"/>
      <c r="H7" s="607"/>
      <c r="I7" s="607"/>
      <c r="J7" s="607"/>
    </row>
    <row r="8" spans="1:10" ht="75">
      <c r="A8" s="603"/>
      <c r="B8" s="603"/>
      <c r="C8" s="603"/>
      <c r="D8" s="603"/>
      <c r="E8" s="41" t="s">
        <v>316</v>
      </c>
      <c r="F8" s="41" t="s">
        <v>317</v>
      </c>
      <c r="G8" s="42" t="s">
        <v>318</v>
      </c>
      <c r="H8" s="607"/>
      <c r="I8" s="607"/>
      <c r="J8" s="607"/>
    </row>
    <row r="9" spans="1:12" ht="15">
      <c r="A9" s="43">
        <v>1</v>
      </c>
      <c r="B9" s="43">
        <v>2</v>
      </c>
      <c r="C9" s="43">
        <v>3</v>
      </c>
      <c r="D9" s="43">
        <v>4</v>
      </c>
      <c r="E9" s="43">
        <v>5</v>
      </c>
      <c r="F9" s="43">
        <v>6</v>
      </c>
      <c r="G9" s="43">
        <v>7</v>
      </c>
      <c r="H9" s="43">
        <v>8</v>
      </c>
      <c r="I9" s="43">
        <v>9</v>
      </c>
      <c r="J9" s="43">
        <v>10</v>
      </c>
      <c r="K9" s="44"/>
      <c r="L9" s="44"/>
    </row>
    <row r="10" spans="1:12" ht="45">
      <c r="A10" s="43">
        <v>1</v>
      </c>
      <c r="B10" s="45" t="s">
        <v>319</v>
      </c>
      <c r="C10" s="46">
        <v>2</v>
      </c>
      <c r="D10" s="47">
        <f>E10+F10+G10</f>
        <v>16777</v>
      </c>
      <c r="E10" s="47">
        <v>7440</v>
      </c>
      <c r="F10" s="47">
        <f>5482.5+191.1+72.17+495.3+940.6+9+867.33</f>
        <v>8058.000000000001</v>
      </c>
      <c r="G10" s="47">
        <f>E10*0.1+535</f>
        <v>1279</v>
      </c>
      <c r="H10" s="47">
        <v>80</v>
      </c>
      <c r="I10" s="47">
        <v>1.7</v>
      </c>
      <c r="J10" s="47">
        <f aca="true" t="shared" si="0" ref="J10:J19">C10*D10*(H10/100+I10)*12</f>
        <v>1006620</v>
      </c>
      <c r="K10" s="48"/>
      <c r="L10" s="44"/>
    </row>
    <row r="11" spans="1:12" ht="15">
      <c r="A11" s="43">
        <v>2</v>
      </c>
      <c r="B11" s="45" t="s">
        <v>320</v>
      </c>
      <c r="C11" s="46">
        <v>1</v>
      </c>
      <c r="D11" s="47">
        <f aca="true" t="shared" si="1" ref="D11:D30">E11+F11+G11</f>
        <v>16776.81</v>
      </c>
      <c r="E11" s="47">
        <v>7440</v>
      </c>
      <c r="F11" s="47">
        <f>5482.5+191.91+72.17+495.3+940.6+9+867.33+371</f>
        <v>8429.810000000001</v>
      </c>
      <c r="G11" s="47">
        <f>E11*0.05+535</f>
        <v>907</v>
      </c>
      <c r="H11" s="47">
        <v>80</v>
      </c>
      <c r="I11" s="47">
        <v>1.7</v>
      </c>
      <c r="J11" s="47">
        <f t="shared" si="0"/>
        <v>503304.30000000005</v>
      </c>
      <c r="K11" s="49"/>
      <c r="L11" s="50"/>
    </row>
    <row r="12" spans="1:12" ht="15">
      <c r="A12" s="43">
        <v>3</v>
      </c>
      <c r="B12" s="45" t="s">
        <v>321</v>
      </c>
      <c r="C12" s="46">
        <v>1</v>
      </c>
      <c r="D12" s="47">
        <f>E12+F12+G12</f>
        <v>17105.21</v>
      </c>
      <c r="E12" s="47">
        <v>7440</v>
      </c>
      <c r="F12" s="47">
        <f>5482.5+191.91+72.17+495.3+9+867.33+1640</f>
        <v>8758.21</v>
      </c>
      <c r="G12" s="47">
        <f>E12*0.05+535</f>
        <v>907</v>
      </c>
      <c r="H12" s="47">
        <v>80</v>
      </c>
      <c r="I12" s="47">
        <v>1.7</v>
      </c>
      <c r="J12" s="47">
        <f t="shared" si="0"/>
        <v>513156.29999999993</v>
      </c>
      <c r="K12" s="48"/>
      <c r="L12" s="44"/>
    </row>
    <row r="13" spans="1:12" ht="15">
      <c r="A13" s="43">
        <v>4</v>
      </c>
      <c r="B13" s="45" t="s">
        <v>322</v>
      </c>
      <c r="C13" s="46">
        <v>3</v>
      </c>
      <c r="D13" s="47">
        <f>E13+F13+G13</f>
        <v>18078.9</v>
      </c>
      <c r="E13" s="47">
        <v>7440</v>
      </c>
      <c r="F13" s="47">
        <f>5482.5+1123+72.17+495.3+940.6+7+867.33</f>
        <v>8987.900000000001</v>
      </c>
      <c r="G13" s="47">
        <f>E13*0.15+535</f>
        <v>1651</v>
      </c>
      <c r="H13" s="47">
        <v>80</v>
      </c>
      <c r="I13" s="47">
        <v>1.7</v>
      </c>
      <c r="J13" s="47">
        <f>C13*D13*(H13/100+I13)*12</f>
        <v>1627101</v>
      </c>
      <c r="K13" s="44"/>
      <c r="L13" s="44"/>
    </row>
    <row r="14" spans="1:12" ht="75">
      <c r="A14" s="43">
        <v>5</v>
      </c>
      <c r="B14" s="45" t="s">
        <v>323</v>
      </c>
      <c r="C14" s="46">
        <v>1</v>
      </c>
      <c r="D14" s="47">
        <f t="shared" si="1"/>
        <v>16776.48</v>
      </c>
      <c r="E14" s="47">
        <v>7440</v>
      </c>
      <c r="F14" s="47">
        <f>5482.5+191.91+72.17+495.3+940.6+9+1238</f>
        <v>8429.48</v>
      </c>
      <c r="G14" s="47">
        <f>E14*0.05+535</f>
        <v>907</v>
      </c>
      <c r="H14" s="47">
        <v>80</v>
      </c>
      <c r="I14" s="47">
        <v>1.7</v>
      </c>
      <c r="J14" s="47">
        <f t="shared" si="0"/>
        <v>503294.39999999997</v>
      </c>
      <c r="K14" s="51"/>
      <c r="L14" s="44"/>
    </row>
    <row r="15" spans="1:12" ht="30">
      <c r="A15" s="43">
        <v>6</v>
      </c>
      <c r="B15" s="45" t="s">
        <v>324</v>
      </c>
      <c r="C15" s="46">
        <v>0.5</v>
      </c>
      <c r="D15" s="47">
        <f>E15+F15+G15</f>
        <v>16794.71</v>
      </c>
      <c r="E15" s="47">
        <v>8386</v>
      </c>
      <c r="F15" s="47">
        <f>3113.38+806.8+495.3+940.6+7+867.33</f>
        <v>6230.410000000001</v>
      </c>
      <c r="G15" s="47">
        <f>E15*0.05+1224+535</f>
        <v>2178.3</v>
      </c>
      <c r="H15" s="47">
        <v>80</v>
      </c>
      <c r="I15" s="47">
        <v>1.7</v>
      </c>
      <c r="J15" s="47">
        <f t="shared" si="0"/>
        <v>251920.64999999997</v>
      </c>
      <c r="K15" s="48"/>
      <c r="L15" s="44"/>
    </row>
    <row r="16" spans="1:12" ht="45">
      <c r="A16" s="43">
        <v>7</v>
      </c>
      <c r="B16" s="45" t="s">
        <v>325</v>
      </c>
      <c r="C16" s="46">
        <v>1</v>
      </c>
      <c r="D16" s="47">
        <f t="shared" si="1"/>
        <v>16802.71</v>
      </c>
      <c r="E16" s="47">
        <v>9566</v>
      </c>
      <c r="F16" s="47">
        <f>3113.38+806.8+495.3+940.6+867.33</f>
        <v>6223.410000000001</v>
      </c>
      <c r="G16" s="47">
        <f>E16*0.05+535</f>
        <v>1013.3</v>
      </c>
      <c r="H16" s="47">
        <v>80</v>
      </c>
      <c r="I16" s="47">
        <v>1.7</v>
      </c>
      <c r="J16" s="47">
        <f t="shared" si="0"/>
        <v>504081.29999999993</v>
      </c>
      <c r="K16" s="264"/>
      <c r="L16" s="50"/>
    </row>
    <row r="17" spans="1:12" ht="30">
      <c r="A17" s="43">
        <v>8</v>
      </c>
      <c r="B17" s="45" t="s">
        <v>326</v>
      </c>
      <c r="C17" s="46">
        <v>1</v>
      </c>
      <c r="D17" s="47">
        <f t="shared" si="1"/>
        <v>21143.94</v>
      </c>
      <c r="E17" s="47">
        <v>11692</v>
      </c>
      <c r="F17" s="47">
        <f>3113.38+806.8+495.3+940.6+7+867.33</f>
        <v>6230.410000000001</v>
      </c>
      <c r="G17" s="47">
        <f>E17*0.2+348.13+535</f>
        <v>3221.53</v>
      </c>
      <c r="H17" s="47">
        <v>80</v>
      </c>
      <c r="I17" s="47">
        <v>1.7</v>
      </c>
      <c r="J17" s="47">
        <f t="shared" si="0"/>
        <v>634318.2</v>
      </c>
      <c r="K17" s="51">
        <v>11440875</v>
      </c>
      <c r="L17" s="44"/>
    </row>
    <row r="18" spans="1:12" ht="30">
      <c r="A18" s="43">
        <v>9</v>
      </c>
      <c r="B18" s="45" t="s">
        <v>327</v>
      </c>
      <c r="C18" s="46">
        <v>1</v>
      </c>
      <c r="D18" s="47">
        <f t="shared" si="1"/>
        <v>19260.54</v>
      </c>
      <c r="E18" s="47">
        <v>11692</v>
      </c>
      <c r="F18" s="47">
        <f>3113.38-1.87+806.8+495.3+940.6+867.33</f>
        <v>6221.540000000001</v>
      </c>
      <c r="G18" s="47">
        <v>1347</v>
      </c>
      <c r="H18" s="47">
        <v>80</v>
      </c>
      <c r="I18" s="47">
        <v>1.7</v>
      </c>
      <c r="J18" s="47">
        <f>C18*D18*(H18/100+I18)*12+6.9</f>
        <v>577823.1000000001</v>
      </c>
      <c r="K18" s="51">
        <f>J10+J11+J12+J13+J14+J15+J16+J17+J18+J19+J20+J28+J29+J30+J24</f>
        <v>11440875</v>
      </c>
      <c r="L18" s="44"/>
    </row>
    <row r="19" spans="1:12" ht="30">
      <c r="A19" s="43">
        <v>10</v>
      </c>
      <c r="B19" s="45" t="s">
        <v>328</v>
      </c>
      <c r="C19" s="46">
        <v>1</v>
      </c>
      <c r="D19" s="47">
        <f>E19+F19+G19</f>
        <v>20025.050000000003</v>
      </c>
      <c r="E19" s="47">
        <v>11692</v>
      </c>
      <c r="F19" s="47">
        <f>3113.38+806.8+495.3+940.6+7.71+867.33</f>
        <v>6231.120000000001</v>
      </c>
      <c r="G19" s="47">
        <f>E19*0.15+348.13</f>
        <v>2101.93</v>
      </c>
      <c r="H19" s="47">
        <v>80</v>
      </c>
      <c r="I19" s="47">
        <v>1.7</v>
      </c>
      <c r="J19" s="47">
        <f t="shared" si="0"/>
        <v>600751.5000000001</v>
      </c>
      <c r="K19" s="51">
        <f>K17-K18</f>
        <v>0</v>
      </c>
      <c r="L19" s="44"/>
    </row>
    <row r="20" spans="1:12" ht="30">
      <c r="A20" s="43">
        <v>11</v>
      </c>
      <c r="B20" s="45" t="s">
        <v>329</v>
      </c>
      <c r="C20" s="46">
        <v>0.5</v>
      </c>
      <c r="D20" s="47">
        <f t="shared" si="1"/>
        <v>16504.25</v>
      </c>
      <c r="E20" s="47">
        <v>9212</v>
      </c>
      <c r="F20" s="47">
        <f>4759.32+195.3+470.3+867.33</f>
        <v>6292.25</v>
      </c>
      <c r="G20" s="47">
        <v>1000</v>
      </c>
      <c r="H20" s="47">
        <v>80</v>
      </c>
      <c r="I20" s="47">
        <v>1.7</v>
      </c>
      <c r="J20" s="47">
        <f>C20*D20*(H20/100+I20)*12</f>
        <v>247563.75</v>
      </c>
      <c r="K20" s="51"/>
      <c r="L20" s="48"/>
    </row>
    <row r="21" spans="1:12" ht="30">
      <c r="A21" s="43">
        <v>12</v>
      </c>
      <c r="B21" s="45" t="s">
        <v>330</v>
      </c>
      <c r="C21" s="46">
        <v>0.5</v>
      </c>
      <c r="D21" s="47">
        <f t="shared" si="1"/>
        <v>9631</v>
      </c>
      <c r="E21" s="47">
        <v>9631</v>
      </c>
      <c r="F21" s="47"/>
      <c r="G21" s="47"/>
      <c r="H21" s="47">
        <v>80</v>
      </c>
      <c r="I21" s="47">
        <v>1.7</v>
      </c>
      <c r="J21" s="47">
        <f>C21*D21*(H21/100+I21)*12</f>
        <v>144465</v>
      </c>
      <c r="K21" s="210"/>
      <c r="L21" s="70"/>
    </row>
    <row r="22" spans="1:12" ht="30">
      <c r="A22" s="43">
        <v>13</v>
      </c>
      <c r="B22" s="45" t="s">
        <v>331</v>
      </c>
      <c r="C22" s="46">
        <v>5.5</v>
      </c>
      <c r="D22" s="47">
        <f t="shared" si="1"/>
        <v>24726.92</v>
      </c>
      <c r="E22" s="47">
        <v>10197</v>
      </c>
      <c r="F22" s="47"/>
      <c r="G22" s="47">
        <f>11824.02+1630.65+1075.25</f>
        <v>14529.92</v>
      </c>
      <c r="H22" s="47">
        <v>80</v>
      </c>
      <c r="I22" s="47">
        <v>1.7</v>
      </c>
      <c r="J22" s="47">
        <f>C22*D22*(H22/100+I22)*12</f>
        <v>4079941.8000000003</v>
      </c>
      <c r="K22" s="51"/>
      <c r="L22" s="44"/>
    </row>
    <row r="23" spans="1:12" ht="45">
      <c r="A23" s="43">
        <v>14</v>
      </c>
      <c r="B23" s="45" t="s">
        <v>332</v>
      </c>
      <c r="C23" s="46">
        <v>5.5</v>
      </c>
      <c r="D23" s="47">
        <f t="shared" si="1"/>
        <v>24730.45</v>
      </c>
      <c r="E23" s="47">
        <v>10197</v>
      </c>
      <c r="F23" s="47"/>
      <c r="G23" s="47">
        <f>11824.02+1630.65+1075.28+3.5</f>
        <v>14533.45</v>
      </c>
      <c r="H23" s="47">
        <v>80</v>
      </c>
      <c r="I23" s="47">
        <v>1.7</v>
      </c>
      <c r="J23" s="47">
        <f>C23*D23*(H23/100+I23)*12-0.15</f>
        <v>4080524.1</v>
      </c>
      <c r="K23" s="210">
        <f>J21+J22+J23+J25+J26+J27</f>
        <v>10412460</v>
      </c>
      <c r="L23" s="44"/>
    </row>
    <row r="24" spans="1:12" ht="45">
      <c r="A24" s="259"/>
      <c r="B24" s="45" t="s">
        <v>332</v>
      </c>
      <c r="C24" s="46">
        <v>1</v>
      </c>
      <c r="D24" s="47">
        <f t="shared" si="1"/>
        <v>24726.95</v>
      </c>
      <c r="E24" s="47">
        <v>10197</v>
      </c>
      <c r="F24" s="47"/>
      <c r="G24" s="47">
        <f>11824.02+1630.65+1075.28</f>
        <v>14529.95</v>
      </c>
      <c r="H24" s="47">
        <v>80</v>
      </c>
      <c r="I24" s="47">
        <v>1.7</v>
      </c>
      <c r="J24" s="47">
        <f aca="true" t="shared" si="2" ref="J24:J30">C24*D24*(H24/100+I24)*12</f>
        <v>741808.5</v>
      </c>
      <c r="K24" s="210"/>
      <c r="L24" s="44"/>
    </row>
    <row r="25" spans="1:12" ht="30">
      <c r="A25" s="43">
        <v>15</v>
      </c>
      <c r="B25" s="45" t="s">
        <v>333</v>
      </c>
      <c r="C25" s="46">
        <v>1</v>
      </c>
      <c r="D25" s="47">
        <f t="shared" si="1"/>
        <v>22021.02</v>
      </c>
      <c r="E25" s="47">
        <v>10197</v>
      </c>
      <c r="F25" s="47"/>
      <c r="G25" s="47">
        <f>11824.02</f>
        <v>11824.02</v>
      </c>
      <c r="H25" s="47">
        <v>80</v>
      </c>
      <c r="I25" s="47">
        <v>1.7</v>
      </c>
      <c r="J25" s="47">
        <f t="shared" si="2"/>
        <v>660630.6000000001</v>
      </c>
      <c r="K25" s="44"/>
      <c r="L25" s="44"/>
    </row>
    <row r="26" spans="1:12" ht="15">
      <c r="A26" s="43">
        <v>16</v>
      </c>
      <c r="B26" s="45" t="s">
        <v>334</v>
      </c>
      <c r="C26" s="46">
        <v>1</v>
      </c>
      <c r="D26" s="47">
        <f t="shared" si="1"/>
        <v>22782.66</v>
      </c>
      <c r="E26" s="47">
        <v>10918</v>
      </c>
      <c r="F26" s="47"/>
      <c r="G26" s="47">
        <f>11824.02+37.25+3.39</f>
        <v>11864.66</v>
      </c>
      <c r="H26" s="47">
        <v>80</v>
      </c>
      <c r="I26" s="47">
        <v>1.7</v>
      </c>
      <c r="J26" s="47">
        <f t="shared" si="2"/>
        <v>683479.8</v>
      </c>
      <c r="K26" s="44"/>
      <c r="L26" s="44"/>
    </row>
    <row r="27" spans="1:13" ht="30">
      <c r="A27" s="43">
        <v>17</v>
      </c>
      <c r="B27" s="45" t="s">
        <v>335</v>
      </c>
      <c r="C27" s="46">
        <v>1</v>
      </c>
      <c r="D27" s="47">
        <f t="shared" si="1"/>
        <v>25447.29</v>
      </c>
      <c r="E27" s="47">
        <v>10918</v>
      </c>
      <c r="F27" s="47"/>
      <c r="G27" s="47">
        <f>11824.02+1630+1075.27</f>
        <v>14529.29</v>
      </c>
      <c r="H27" s="47">
        <v>80</v>
      </c>
      <c r="I27" s="47">
        <v>1.7</v>
      </c>
      <c r="J27" s="47">
        <f t="shared" si="2"/>
        <v>763418.7000000001</v>
      </c>
      <c r="K27" s="44">
        <v>9772400</v>
      </c>
      <c r="L27" s="51">
        <f>J21+J22+J23+J25+J26+J27</f>
        <v>10412460</v>
      </c>
      <c r="M27" s="51">
        <f>L27-K27</f>
        <v>640060</v>
      </c>
    </row>
    <row r="28" spans="1:13" ht="75">
      <c r="A28" s="43">
        <v>18</v>
      </c>
      <c r="B28" s="45" t="s">
        <v>336</v>
      </c>
      <c r="C28" s="46">
        <v>1</v>
      </c>
      <c r="D28" s="47">
        <f t="shared" si="1"/>
        <v>37291</v>
      </c>
      <c r="E28" s="47">
        <v>25291</v>
      </c>
      <c r="F28" s="47"/>
      <c r="G28" s="47">
        <v>12000</v>
      </c>
      <c r="H28" s="47">
        <v>80</v>
      </c>
      <c r="I28" s="47">
        <v>1.7</v>
      </c>
      <c r="J28" s="47">
        <f t="shared" si="2"/>
        <v>1118730</v>
      </c>
      <c r="K28" s="51"/>
      <c r="L28" s="51"/>
      <c r="M28" s="44"/>
    </row>
    <row r="29" spans="1:13" ht="30">
      <c r="A29" s="43">
        <v>19</v>
      </c>
      <c r="B29" s="45" t="s">
        <v>337</v>
      </c>
      <c r="C29" s="46">
        <v>1</v>
      </c>
      <c r="D29" s="47">
        <f t="shared" si="1"/>
        <v>37291</v>
      </c>
      <c r="E29" s="47">
        <v>25291</v>
      </c>
      <c r="F29" s="47"/>
      <c r="G29" s="47">
        <v>12000</v>
      </c>
      <c r="H29" s="47">
        <v>80</v>
      </c>
      <c r="I29" s="47">
        <v>1.7</v>
      </c>
      <c r="J29" s="47">
        <f t="shared" si="2"/>
        <v>1118730</v>
      </c>
      <c r="K29" s="51">
        <v>9242000</v>
      </c>
      <c r="L29" s="51">
        <f>J29+J28+J30+J10+J11+J12+J13+J14+J15+J16+J17+J18+J19+J20</f>
        <v>10699066.5</v>
      </c>
      <c r="M29" s="51">
        <f>K29-L29</f>
        <v>-1457066.5</v>
      </c>
    </row>
    <row r="30" spans="1:13" ht="15">
      <c r="A30" s="43">
        <v>20</v>
      </c>
      <c r="B30" s="45" t="s">
        <v>290</v>
      </c>
      <c r="C30" s="46">
        <v>1</v>
      </c>
      <c r="D30" s="47">
        <f t="shared" si="1"/>
        <v>49722.4</v>
      </c>
      <c r="E30" s="47">
        <v>28102</v>
      </c>
      <c r="F30" s="47"/>
      <c r="G30" s="47">
        <f>E30*0.2+16000</f>
        <v>21620.4</v>
      </c>
      <c r="H30" s="47">
        <v>80</v>
      </c>
      <c r="I30" s="47">
        <v>1.7</v>
      </c>
      <c r="J30" s="47">
        <f t="shared" si="2"/>
        <v>1491672</v>
      </c>
      <c r="K30" s="51"/>
      <c r="L30" s="51"/>
      <c r="M30" s="44"/>
    </row>
    <row r="31" spans="1:13" ht="15">
      <c r="A31" s="53"/>
      <c r="B31" s="54" t="s">
        <v>338</v>
      </c>
      <c r="C31" s="43" t="s">
        <v>34</v>
      </c>
      <c r="D31" s="55"/>
      <c r="E31" s="47" t="s">
        <v>34</v>
      </c>
      <c r="F31" s="47" t="s">
        <v>34</v>
      </c>
      <c r="G31" s="47" t="s">
        <v>34</v>
      </c>
      <c r="H31" s="47" t="s">
        <v>34</v>
      </c>
      <c r="I31" s="47" t="s">
        <v>34</v>
      </c>
      <c r="J31" s="47">
        <f>SUM(J10:J30)</f>
        <v>21853335</v>
      </c>
      <c r="K31" s="51">
        <f>11440875+10412460</f>
        <v>21853335</v>
      </c>
      <c r="L31" s="44"/>
      <c r="M31" s="44"/>
    </row>
    <row r="32" spans="1:13" ht="15">
      <c r="A32" s="56"/>
      <c r="B32" s="609"/>
      <c r="C32" s="609"/>
      <c r="D32" s="610"/>
      <c r="E32" s="610"/>
      <c r="F32" s="57"/>
      <c r="G32" s="58"/>
      <c r="H32" s="59"/>
      <c r="I32" s="59"/>
      <c r="J32" s="60"/>
      <c r="K32" s="51">
        <f>K31-J31</f>
        <v>0</v>
      </c>
      <c r="L32" s="44"/>
      <c r="M32" s="44"/>
    </row>
    <row r="33" spans="1:12" ht="15">
      <c r="A33" s="61"/>
      <c r="B33" s="62"/>
      <c r="C33" s="63" t="s">
        <v>339</v>
      </c>
      <c r="D33" s="64">
        <v>7575444</v>
      </c>
      <c r="E33" s="65"/>
      <c r="F33" s="61"/>
      <c r="G33" s="66"/>
      <c r="H33" s="66"/>
      <c r="I33" s="66"/>
      <c r="J33" s="255">
        <f>J31+'ЗП ИЦ'!EA24+'ПВ МЗ'!F9+'ПВ МЗ'!F15+'ПВ МЗ'!G21+'ПВ МЗ'!G57+12403+'ПВ ИЦ'!H9+'НЧ МЗ'!F18+'НЧ ИЦ'!F16+'290 МЗ'!G17+'244,247 МЗ'!G17+'244,247 МЗ'!G37+'244,247 МЗ'!G57+'244 МЗ (2)'!G31+'244 МЗ (2)'!G48+'244 МЗ (3)'!F15+'244 ИЦ'!H55</f>
        <v>36877848.01068</v>
      </c>
      <c r="K33" s="50"/>
      <c r="L33" s="44"/>
    </row>
    <row r="34" spans="1:12" ht="15">
      <c r="A34" s="61"/>
      <c r="B34" s="63"/>
      <c r="C34" s="63" t="s">
        <v>340</v>
      </c>
      <c r="D34" s="64">
        <v>10274544</v>
      </c>
      <c r="E34" s="64"/>
      <c r="F34" s="61"/>
      <c r="G34" s="66"/>
      <c r="H34" s="66"/>
      <c r="I34" s="66"/>
      <c r="J34" s="67"/>
      <c r="K34" s="69"/>
      <c r="L34" s="44"/>
    </row>
    <row r="35" spans="1:12" ht="15">
      <c r="A35" s="61"/>
      <c r="B35" s="63"/>
      <c r="C35" s="63"/>
      <c r="D35" s="64">
        <f>SUM(D33:D34)</f>
        <v>17849988</v>
      </c>
      <c r="E35" s="63"/>
      <c r="F35" s="61"/>
      <c r="G35" s="61"/>
      <c r="H35" s="61"/>
      <c r="I35" s="61"/>
      <c r="J35" s="68"/>
      <c r="K35" s="50"/>
      <c r="L35" s="44"/>
    </row>
    <row r="36" spans="1:11" ht="12.75">
      <c r="A36" s="66"/>
      <c r="B36" s="69"/>
      <c r="C36" s="69"/>
      <c r="D36" s="69"/>
      <c r="E36" s="69"/>
      <c r="F36" s="66"/>
      <c r="G36" s="66"/>
      <c r="H36" s="66"/>
      <c r="I36" s="66"/>
      <c r="J36" s="66"/>
      <c r="K36" s="66"/>
    </row>
    <row r="37" spans="2:5" ht="12.75">
      <c r="B37" s="52"/>
      <c r="C37" s="52"/>
      <c r="D37" s="52"/>
      <c r="E37" s="52"/>
    </row>
    <row r="38" spans="2:5" ht="12.75">
      <c r="B38" s="52"/>
      <c r="C38" s="52"/>
      <c r="D38" s="52"/>
      <c r="E38" s="52"/>
    </row>
    <row r="39" spans="2:5" ht="12.75">
      <c r="B39" s="52"/>
      <c r="C39" s="52"/>
      <c r="D39" s="52"/>
      <c r="E39" s="52"/>
    </row>
    <row r="40" spans="2:5" ht="12.75">
      <c r="B40" s="52"/>
      <c r="C40" s="52"/>
      <c r="D40" s="52"/>
      <c r="E40" s="52"/>
    </row>
    <row r="41" spans="2:5" ht="12.75">
      <c r="B41" s="52"/>
      <c r="C41" s="52"/>
      <c r="D41" s="52"/>
      <c r="E41" s="52"/>
    </row>
    <row r="42" spans="2:5" ht="12.75">
      <c r="B42" s="52"/>
      <c r="C42" s="52"/>
      <c r="D42" s="52"/>
      <c r="E42" s="52"/>
    </row>
    <row r="43" spans="2:5" ht="12.75">
      <c r="B43" s="52"/>
      <c r="C43" s="52"/>
      <c r="D43" s="52"/>
      <c r="E43" s="52"/>
    </row>
    <row r="44" spans="2:5" ht="12.75">
      <c r="B44" s="52"/>
      <c r="C44" s="52"/>
      <c r="D44" s="52"/>
      <c r="E44" s="52"/>
    </row>
  </sheetData>
  <sheetProtection/>
  <mergeCells count="14">
    <mergeCell ref="B32:E32"/>
    <mergeCell ref="A1:J1"/>
    <mergeCell ref="A2:H2"/>
    <mergeCell ref="A4:J4"/>
    <mergeCell ref="A5:H5"/>
    <mergeCell ref="A6:A8"/>
    <mergeCell ref="B6:B8"/>
    <mergeCell ref="C6:C8"/>
    <mergeCell ref="D6:G6"/>
    <mergeCell ref="H6:H8"/>
    <mergeCell ref="I6:I8"/>
    <mergeCell ref="J6:J8"/>
    <mergeCell ref="D7:D8"/>
    <mergeCell ref="E7:G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C29"/>
  <sheetViews>
    <sheetView zoomScalePageLayoutView="0" workbookViewId="0" topLeftCell="A4">
      <selection activeCell="EA22" sqref="EA22"/>
    </sheetView>
  </sheetViews>
  <sheetFormatPr defaultColWidth="9.33203125" defaultRowHeight="12.75"/>
  <cols>
    <col min="1" max="1" width="5.66015625" style="0" customWidth="1"/>
    <col min="2" max="6" width="9.33203125" style="0" hidden="1" customWidth="1"/>
    <col min="11" max="11" width="6.5" style="0" customWidth="1"/>
    <col min="12" max="24" width="9.33203125" style="0" hidden="1" customWidth="1"/>
    <col min="26" max="26" width="2.16015625" style="0" customWidth="1"/>
    <col min="27" max="27" width="6.83203125" style="0" hidden="1" customWidth="1"/>
    <col min="28" max="40" width="9.33203125" style="0" hidden="1" customWidth="1"/>
    <col min="42" max="42" width="4.83203125" style="0" customWidth="1"/>
    <col min="43" max="43" width="3.16015625" style="0" hidden="1" customWidth="1"/>
    <col min="44" max="57" width="9.33203125" style="0" hidden="1" customWidth="1"/>
    <col min="58" max="58" width="5.83203125" style="0" customWidth="1"/>
    <col min="59" max="59" width="2.33203125" style="0" customWidth="1"/>
    <col min="60" max="60" width="5" style="0" hidden="1" customWidth="1"/>
    <col min="61" max="75" width="9.33203125" style="0" hidden="1" customWidth="1"/>
    <col min="76" max="76" width="11.5" style="0" customWidth="1"/>
    <col min="77" max="77" width="6.33203125" style="0" hidden="1" customWidth="1"/>
    <col min="78" max="94" width="9.33203125" style="0" hidden="1" customWidth="1"/>
    <col min="96" max="96" width="2.5" style="0" customWidth="1"/>
    <col min="97" max="112" width="9.33203125" style="0" hidden="1" customWidth="1"/>
    <col min="114" max="114" width="2.16015625" style="0" customWidth="1"/>
    <col min="115" max="127" width="9.33203125" style="0" hidden="1" customWidth="1"/>
    <col min="128" max="128" width="10.33203125" style="0" hidden="1" customWidth="1"/>
    <col min="130" max="130" width="2" style="0" customWidth="1"/>
    <col min="131" max="131" width="15.83203125" style="0" customWidth="1"/>
    <col min="132" max="132" width="12.66015625" style="0" customWidth="1"/>
    <col min="133" max="133" width="11.66015625" style="0" customWidth="1"/>
  </cols>
  <sheetData>
    <row r="1" spans="1:131" ht="36" customHeight="1">
      <c r="A1" s="624" t="s">
        <v>502</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624"/>
      <c r="DK1" s="624"/>
      <c r="DL1" s="624"/>
      <c r="DM1" s="624"/>
      <c r="DN1" s="624"/>
      <c r="DO1" s="624"/>
      <c r="DP1" s="624"/>
      <c r="DQ1" s="624"/>
      <c r="DR1" s="624"/>
      <c r="DS1" s="624"/>
      <c r="DT1" s="624"/>
      <c r="DU1" s="624"/>
      <c r="DV1" s="624"/>
      <c r="DW1" s="624"/>
      <c r="DX1" s="624"/>
      <c r="DY1" s="624"/>
      <c r="DZ1" s="624"/>
      <c r="EA1" s="624"/>
    </row>
    <row r="2" spans="1:131" ht="12.7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row>
    <row r="3" spans="1:131" ht="14.25">
      <c r="A3" s="625" t="s">
        <v>503</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5"/>
      <c r="CC3" s="625"/>
      <c r="CD3" s="625"/>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row>
    <row r="4" spans="1:131" ht="12.7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row>
    <row r="5" spans="1:131" ht="14.25">
      <c r="A5" s="167" t="s">
        <v>305</v>
      </c>
      <c r="B5" s="167"/>
      <c r="C5" s="167"/>
      <c r="D5" s="167"/>
      <c r="E5" s="167"/>
      <c r="F5" s="167"/>
      <c r="G5" s="167"/>
      <c r="H5" s="167"/>
      <c r="I5" s="167"/>
      <c r="J5" s="167"/>
      <c r="K5" s="167"/>
      <c r="L5" s="167"/>
      <c r="M5" s="167"/>
      <c r="N5" s="167"/>
      <c r="O5" s="167"/>
      <c r="P5" s="167"/>
      <c r="Q5" s="167"/>
      <c r="R5" s="167"/>
      <c r="S5" s="167"/>
      <c r="T5" s="167"/>
      <c r="U5" s="167"/>
      <c r="V5" s="167"/>
      <c r="W5" s="167"/>
      <c r="X5" s="626" t="s">
        <v>82</v>
      </c>
      <c r="Y5" s="626"/>
      <c r="Z5" s="626"/>
      <c r="AA5" s="626"/>
      <c r="AB5" s="626"/>
      <c r="AC5" s="626"/>
      <c r="AD5" s="626"/>
      <c r="AE5" s="626"/>
      <c r="AF5" s="626"/>
      <c r="AG5" s="626"/>
      <c r="AH5" s="626"/>
      <c r="AI5" s="626"/>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6"/>
      <c r="BH5" s="626"/>
      <c r="BI5" s="626"/>
      <c r="BJ5" s="626"/>
      <c r="BK5" s="626"/>
      <c r="BL5" s="626"/>
      <c r="BM5" s="626"/>
      <c r="BN5" s="626"/>
      <c r="BO5" s="626"/>
      <c r="BP5" s="626"/>
      <c r="BQ5" s="626"/>
      <c r="BR5" s="626"/>
      <c r="BS5" s="626"/>
      <c r="BT5" s="626"/>
      <c r="BU5" s="626"/>
      <c r="BV5" s="626"/>
      <c r="BW5" s="626"/>
      <c r="BX5" s="626"/>
      <c r="BY5" s="626"/>
      <c r="BZ5" s="626"/>
      <c r="CA5" s="626"/>
      <c r="CB5" s="626"/>
      <c r="CC5" s="626"/>
      <c r="CD5" s="626"/>
      <c r="CE5" s="626"/>
      <c r="CF5" s="626"/>
      <c r="CG5" s="626"/>
      <c r="CH5" s="626"/>
      <c r="CI5" s="626"/>
      <c r="CJ5" s="626"/>
      <c r="CK5" s="626"/>
      <c r="CL5" s="626"/>
      <c r="CM5" s="626"/>
      <c r="CN5" s="626"/>
      <c r="CO5" s="626"/>
      <c r="CP5" s="626"/>
      <c r="CQ5" s="626"/>
      <c r="CR5" s="626"/>
      <c r="CS5" s="626"/>
      <c r="CT5" s="626"/>
      <c r="CU5" s="626"/>
      <c r="CV5" s="626"/>
      <c r="CW5" s="626"/>
      <c r="CX5" s="626"/>
      <c r="CY5" s="626"/>
      <c r="CZ5" s="626"/>
      <c r="DA5" s="626"/>
      <c r="DB5" s="626"/>
      <c r="DC5" s="626"/>
      <c r="DD5" s="626"/>
      <c r="DE5" s="626"/>
      <c r="DF5" s="626"/>
      <c r="DG5" s="626"/>
      <c r="DH5" s="626"/>
      <c r="DI5" s="626"/>
      <c r="DJ5" s="626"/>
      <c r="DK5" s="626"/>
      <c r="DL5" s="626"/>
      <c r="DM5" s="626"/>
      <c r="DN5" s="626"/>
      <c r="DO5" s="626"/>
      <c r="DP5" s="626"/>
      <c r="DQ5" s="626"/>
      <c r="DR5" s="626"/>
      <c r="DS5" s="626"/>
      <c r="DT5" s="626"/>
      <c r="DU5" s="626"/>
      <c r="DV5" s="626"/>
      <c r="DW5" s="626"/>
      <c r="DX5" s="626"/>
      <c r="DY5" s="626"/>
      <c r="DZ5" s="626"/>
      <c r="EA5" s="626"/>
    </row>
    <row r="6" spans="1:131" ht="14.25">
      <c r="A6" s="167"/>
      <c r="B6" s="167"/>
      <c r="C6" s="167"/>
      <c r="D6" s="167"/>
      <c r="E6" s="167"/>
      <c r="F6" s="167"/>
      <c r="G6" s="167"/>
      <c r="H6" s="167"/>
      <c r="I6" s="167"/>
      <c r="J6" s="167"/>
      <c r="K6" s="167"/>
      <c r="L6" s="167"/>
      <c r="M6" s="167"/>
      <c r="N6" s="167"/>
      <c r="O6" s="167"/>
      <c r="P6" s="167"/>
      <c r="Q6" s="167"/>
      <c r="R6" s="167"/>
      <c r="S6" s="167"/>
      <c r="T6" s="167"/>
      <c r="U6" s="167"/>
      <c r="V6" s="167"/>
      <c r="W6" s="167"/>
      <c r="X6" s="168"/>
      <c r="Y6" s="168"/>
      <c r="Z6" s="168"/>
      <c r="AA6" s="168"/>
      <c r="AB6" s="168"/>
      <c r="AC6" s="168"/>
      <c r="AD6" s="168"/>
      <c r="AE6" s="168"/>
      <c r="AF6" s="168"/>
      <c r="AG6" s="168"/>
      <c r="AH6" s="168"/>
      <c r="AI6" s="168"/>
      <c r="AJ6" s="168"/>
      <c r="AK6" s="168"/>
      <c r="AL6" s="168"/>
      <c r="AM6" s="168"/>
      <c r="AN6" s="168"/>
      <c r="AO6" s="168"/>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row>
    <row r="7" spans="1:131" ht="15">
      <c r="A7" s="627" t="s">
        <v>504</v>
      </c>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8"/>
      <c r="AQ7" s="629"/>
      <c r="AR7" s="629"/>
      <c r="AS7" s="629"/>
      <c r="AT7" s="629"/>
      <c r="AU7" s="629"/>
      <c r="AV7" s="629"/>
      <c r="AW7" s="629"/>
      <c r="AX7" s="629"/>
      <c r="AY7" s="629"/>
      <c r="AZ7" s="629"/>
      <c r="BA7" s="629"/>
      <c r="BB7" s="629"/>
      <c r="BC7" s="629"/>
      <c r="BD7" s="629"/>
      <c r="BE7" s="629"/>
      <c r="BF7" s="629"/>
      <c r="BG7" s="629"/>
      <c r="BH7" s="629"/>
      <c r="BI7" s="629"/>
      <c r="BJ7" s="629"/>
      <c r="BK7" s="629"/>
      <c r="BL7" s="629"/>
      <c r="BM7" s="629"/>
      <c r="BN7" s="629"/>
      <c r="BO7" s="629"/>
      <c r="BP7" s="629"/>
      <c r="BQ7" s="629"/>
      <c r="BR7" s="629"/>
      <c r="BS7" s="629"/>
      <c r="BT7" s="629"/>
      <c r="BU7" s="629"/>
      <c r="BV7" s="629"/>
      <c r="BW7" s="629"/>
      <c r="BX7" s="629"/>
      <c r="BY7" s="629"/>
      <c r="BZ7" s="629"/>
      <c r="CA7" s="629"/>
      <c r="CB7" s="629"/>
      <c r="CC7" s="629"/>
      <c r="CD7" s="629"/>
      <c r="CE7" s="629"/>
      <c r="CF7" s="629"/>
      <c r="CG7" s="629"/>
      <c r="CH7" s="629"/>
      <c r="CI7" s="629"/>
      <c r="CJ7" s="629"/>
      <c r="CK7" s="629"/>
      <c r="CL7" s="629"/>
      <c r="CM7" s="629"/>
      <c r="CN7" s="629"/>
      <c r="CO7" s="629"/>
      <c r="CP7" s="629"/>
      <c r="CQ7" s="629"/>
      <c r="CR7" s="629"/>
      <c r="CS7" s="629"/>
      <c r="CT7" s="629"/>
      <c r="CU7" s="629"/>
      <c r="CV7" s="629"/>
      <c r="CW7" s="629"/>
      <c r="CX7" s="629"/>
      <c r="CY7" s="629"/>
      <c r="CZ7" s="629"/>
      <c r="DA7" s="629"/>
      <c r="DB7" s="629"/>
      <c r="DC7" s="629"/>
      <c r="DD7" s="629"/>
      <c r="DE7" s="629"/>
      <c r="DF7" s="629"/>
      <c r="DG7" s="629"/>
      <c r="DH7" s="629"/>
      <c r="DI7" s="629"/>
      <c r="DJ7" s="629"/>
      <c r="DK7" s="629"/>
      <c r="DL7" s="629"/>
      <c r="DM7" s="629"/>
      <c r="DN7" s="629"/>
      <c r="DO7" s="629"/>
      <c r="DP7" s="629"/>
      <c r="DQ7" s="629"/>
      <c r="DR7" s="629"/>
      <c r="DS7" s="629"/>
      <c r="DT7" s="629"/>
      <c r="DU7" s="629"/>
      <c r="DV7" s="629"/>
      <c r="DW7" s="629"/>
      <c r="DX7" s="629"/>
      <c r="DY7" s="629"/>
      <c r="DZ7" s="629"/>
      <c r="EA7" s="629"/>
    </row>
    <row r="8" spans="1:131" ht="12.75">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629"/>
      <c r="AQ8" s="629"/>
      <c r="AR8" s="629"/>
      <c r="AS8" s="629"/>
      <c r="AT8" s="629"/>
      <c r="AU8" s="629"/>
      <c r="AV8" s="629"/>
      <c r="AW8" s="629"/>
      <c r="AX8" s="629"/>
      <c r="AY8" s="629"/>
      <c r="AZ8" s="629"/>
      <c r="BA8" s="629"/>
      <c r="BB8" s="629"/>
      <c r="BC8" s="629"/>
      <c r="BD8" s="629"/>
      <c r="BE8" s="629"/>
      <c r="BF8" s="629"/>
      <c r="BG8" s="629"/>
      <c r="BH8" s="629"/>
      <c r="BI8" s="629"/>
      <c r="BJ8" s="629"/>
      <c r="BK8" s="629"/>
      <c r="BL8" s="629"/>
      <c r="BM8" s="629"/>
      <c r="BN8" s="629"/>
      <c r="BO8" s="629"/>
      <c r="BP8" s="629"/>
      <c r="BQ8" s="629"/>
      <c r="BR8" s="629"/>
      <c r="BS8" s="629"/>
      <c r="BT8" s="629"/>
      <c r="BU8" s="629"/>
      <c r="BV8" s="629"/>
      <c r="BW8" s="629"/>
      <c r="BX8" s="629"/>
      <c r="BY8" s="629"/>
      <c r="BZ8" s="629"/>
      <c r="CA8" s="629"/>
      <c r="CB8" s="629"/>
      <c r="CC8" s="629"/>
      <c r="CD8" s="629"/>
      <c r="CE8" s="629"/>
      <c r="CF8" s="629"/>
      <c r="CG8" s="629"/>
      <c r="CH8" s="629"/>
      <c r="CI8" s="629"/>
      <c r="CJ8" s="629"/>
      <c r="CK8" s="629"/>
      <c r="CL8" s="629"/>
      <c r="CM8" s="629"/>
      <c r="CN8" s="629"/>
      <c r="CO8" s="629"/>
      <c r="CP8" s="629"/>
      <c r="CQ8" s="629"/>
      <c r="CR8" s="629"/>
      <c r="CS8" s="629"/>
      <c r="CT8" s="629"/>
      <c r="CU8" s="629"/>
      <c r="CV8" s="629"/>
      <c r="CW8" s="629"/>
      <c r="CX8" s="629"/>
      <c r="CY8" s="629"/>
      <c r="CZ8" s="629"/>
      <c r="DA8" s="629"/>
      <c r="DB8" s="629"/>
      <c r="DC8" s="629"/>
      <c r="DD8" s="629"/>
      <c r="DE8" s="629"/>
      <c r="DF8" s="629"/>
      <c r="DG8" s="629"/>
      <c r="DH8" s="629"/>
      <c r="DI8" s="629"/>
      <c r="DJ8" s="629"/>
      <c r="DK8" s="629"/>
      <c r="DL8" s="629"/>
      <c r="DM8" s="629"/>
      <c r="DN8" s="629"/>
      <c r="DO8" s="629"/>
      <c r="DP8" s="629"/>
      <c r="DQ8" s="629"/>
      <c r="DR8" s="629"/>
      <c r="DS8" s="629"/>
      <c r="DT8" s="629"/>
      <c r="DU8" s="629"/>
      <c r="DV8" s="629"/>
      <c r="DW8" s="629"/>
      <c r="DX8" s="629"/>
      <c r="DY8" s="629"/>
      <c r="DZ8" s="629"/>
      <c r="EA8" s="629"/>
    </row>
    <row r="9" spans="1:131" ht="14.25">
      <c r="A9" s="625" t="s">
        <v>505</v>
      </c>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625"/>
      <c r="BB9" s="625"/>
      <c r="BC9" s="625"/>
      <c r="BD9" s="625"/>
      <c r="BE9" s="625"/>
      <c r="BF9" s="625"/>
      <c r="BG9" s="625"/>
      <c r="BH9" s="625"/>
      <c r="BI9" s="625"/>
      <c r="BJ9" s="625"/>
      <c r="BK9" s="625"/>
      <c r="BL9" s="625"/>
      <c r="BM9" s="625"/>
      <c r="BN9" s="625"/>
      <c r="BO9" s="625"/>
      <c r="BP9" s="625"/>
      <c r="BQ9" s="625"/>
      <c r="BR9" s="625"/>
      <c r="BS9" s="625"/>
      <c r="BT9" s="625"/>
      <c r="BU9" s="625"/>
      <c r="BV9" s="625"/>
      <c r="BW9" s="625"/>
      <c r="BX9" s="625"/>
      <c r="BY9" s="625"/>
      <c r="BZ9" s="625"/>
      <c r="CA9" s="625"/>
      <c r="CB9" s="625"/>
      <c r="CC9" s="625"/>
      <c r="CD9" s="625"/>
      <c r="CE9" s="625"/>
      <c r="CF9" s="625"/>
      <c r="CG9" s="625"/>
      <c r="CH9" s="625"/>
      <c r="CI9" s="625"/>
      <c r="CJ9" s="625"/>
      <c r="CK9" s="625"/>
      <c r="CL9" s="625"/>
      <c r="CM9" s="625"/>
      <c r="CN9" s="625"/>
      <c r="CO9" s="625"/>
      <c r="CP9" s="625"/>
      <c r="CQ9" s="625"/>
      <c r="CR9" s="625"/>
      <c r="CS9" s="625"/>
      <c r="CT9" s="625"/>
      <c r="CU9" s="625"/>
      <c r="CV9" s="625"/>
      <c r="CW9" s="625"/>
      <c r="CX9" s="625"/>
      <c r="CY9" s="625"/>
      <c r="CZ9" s="625"/>
      <c r="DA9" s="625"/>
      <c r="DB9" s="625"/>
      <c r="DC9" s="625"/>
      <c r="DD9" s="625"/>
      <c r="DE9" s="625"/>
      <c r="DF9" s="625"/>
      <c r="DG9" s="625"/>
      <c r="DH9" s="625"/>
      <c r="DI9" s="625"/>
      <c r="DJ9" s="625"/>
      <c r="DK9" s="625"/>
      <c r="DL9" s="625"/>
      <c r="DM9" s="625"/>
      <c r="DN9" s="625"/>
      <c r="DO9" s="625"/>
      <c r="DP9" s="625"/>
      <c r="DQ9" s="625"/>
      <c r="DR9" s="625"/>
      <c r="DS9" s="625"/>
      <c r="DT9" s="625"/>
      <c r="DU9" s="625"/>
      <c r="DV9" s="625"/>
      <c r="DW9" s="625"/>
      <c r="DX9" s="625"/>
      <c r="DY9" s="625"/>
      <c r="DZ9" s="625"/>
      <c r="EA9" s="625"/>
    </row>
    <row r="10" spans="1:131" ht="14.25">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row>
    <row r="11" spans="1:132" ht="12.75">
      <c r="A11" s="615" t="s">
        <v>506</v>
      </c>
      <c r="B11" s="616"/>
      <c r="C11" s="616"/>
      <c r="D11" s="616"/>
      <c r="E11" s="616"/>
      <c r="F11" s="617"/>
      <c r="G11" s="615" t="s">
        <v>507</v>
      </c>
      <c r="H11" s="616"/>
      <c r="I11" s="616"/>
      <c r="J11" s="616"/>
      <c r="K11" s="616"/>
      <c r="L11" s="616"/>
      <c r="M11" s="616"/>
      <c r="N11" s="616"/>
      <c r="O11" s="616"/>
      <c r="P11" s="616"/>
      <c r="Q11" s="616"/>
      <c r="R11" s="616"/>
      <c r="S11" s="616"/>
      <c r="T11" s="616"/>
      <c r="U11" s="616"/>
      <c r="V11" s="616"/>
      <c r="W11" s="616"/>
      <c r="X11" s="617"/>
      <c r="Y11" s="615" t="s">
        <v>310</v>
      </c>
      <c r="Z11" s="616"/>
      <c r="AA11" s="616"/>
      <c r="AB11" s="616"/>
      <c r="AC11" s="616"/>
      <c r="AD11" s="616"/>
      <c r="AE11" s="616"/>
      <c r="AF11" s="616"/>
      <c r="AG11" s="616"/>
      <c r="AH11" s="616"/>
      <c r="AI11" s="616"/>
      <c r="AJ11" s="616"/>
      <c r="AK11" s="616"/>
      <c r="AL11" s="616"/>
      <c r="AM11" s="616"/>
      <c r="AN11" s="617"/>
      <c r="AO11" s="630" t="s">
        <v>311</v>
      </c>
      <c r="AP11" s="631"/>
      <c r="AQ11" s="631"/>
      <c r="AR11" s="631"/>
      <c r="AS11" s="631"/>
      <c r="AT11" s="631"/>
      <c r="AU11" s="631"/>
      <c r="AV11" s="631"/>
      <c r="AW11" s="631"/>
      <c r="AX11" s="631"/>
      <c r="AY11" s="631"/>
      <c r="AZ11" s="631"/>
      <c r="BA11" s="631"/>
      <c r="BB11" s="631"/>
      <c r="BC11" s="631"/>
      <c r="BD11" s="631"/>
      <c r="BE11" s="631"/>
      <c r="BF11" s="631"/>
      <c r="BG11" s="631"/>
      <c r="BH11" s="631"/>
      <c r="BI11" s="631"/>
      <c r="BJ11" s="631"/>
      <c r="BK11" s="631"/>
      <c r="BL11" s="631"/>
      <c r="BM11" s="631"/>
      <c r="BN11" s="631"/>
      <c r="BO11" s="631"/>
      <c r="BP11" s="631"/>
      <c r="BQ11" s="631"/>
      <c r="BR11" s="631"/>
      <c r="BS11" s="631"/>
      <c r="BT11" s="631"/>
      <c r="BU11" s="631"/>
      <c r="BV11" s="631"/>
      <c r="BW11" s="631"/>
      <c r="BX11" s="631"/>
      <c r="BY11" s="631"/>
      <c r="BZ11" s="631"/>
      <c r="CA11" s="631"/>
      <c r="CB11" s="631"/>
      <c r="CC11" s="631"/>
      <c r="CD11" s="631"/>
      <c r="CE11" s="631"/>
      <c r="CF11" s="631"/>
      <c r="CG11" s="631"/>
      <c r="CH11" s="631"/>
      <c r="CI11" s="631"/>
      <c r="CJ11" s="631"/>
      <c r="CK11" s="631"/>
      <c r="CL11" s="631"/>
      <c r="CM11" s="631"/>
      <c r="CN11" s="631"/>
      <c r="CO11" s="631"/>
      <c r="CP11" s="631"/>
      <c r="CQ11" s="631"/>
      <c r="CR11" s="631"/>
      <c r="CS11" s="631"/>
      <c r="CT11" s="631"/>
      <c r="CU11" s="631"/>
      <c r="CV11" s="631"/>
      <c r="CW11" s="631"/>
      <c r="CX11" s="631"/>
      <c r="CY11" s="631"/>
      <c r="CZ11" s="631"/>
      <c r="DA11" s="631"/>
      <c r="DB11" s="631"/>
      <c r="DC11" s="631"/>
      <c r="DD11" s="631"/>
      <c r="DE11" s="631"/>
      <c r="DF11" s="631"/>
      <c r="DG11" s="631"/>
      <c r="DH11" s="632"/>
      <c r="DI11" s="615" t="s">
        <v>508</v>
      </c>
      <c r="DJ11" s="616"/>
      <c r="DK11" s="616"/>
      <c r="DL11" s="616"/>
      <c r="DM11" s="616"/>
      <c r="DN11" s="616"/>
      <c r="DO11" s="616"/>
      <c r="DP11" s="616"/>
      <c r="DQ11" s="616"/>
      <c r="DR11" s="616"/>
      <c r="DS11" s="616"/>
      <c r="DT11" s="616"/>
      <c r="DU11" s="616"/>
      <c r="DV11" s="616"/>
      <c r="DW11" s="616"/>
      <c r="DX11" s="617"/>
      <c r="DY11" s="615" t="s">
        <v>313</v>
      </c>
      <c r="DZ11" s="616"/>
      <c r="EA11" s="615" t="s">
        <v>509</v>
      </c>
      <c r="EB11" s="170"/>
    </row>
    <row r="12" spans="1:132" ht="12.75">
      <c r="A12" s="618"/>
      <c r="B12" s="619"/>
      <c r="C12" s="619"/>
      <c r="D12" s="619"/>
      <c r="E12" s="619"/>
      <c r="F12" s="620"/>
      <c r="G12" s="618"/>
      <c r="H12" s="619"/>
      <c r="I12" s="619"/>
      <c r="J12" s="619"/>
      <c r="K12" s="619"/>
      <c r="L12" s="619"/>
      <c r="M12" s="619"/>
      <c r="N12" s="619"/>
      <c r="O12" s="619"/>
      <c r="P12" s="619"/>
      <c r="Q12" s="619"/>
      <c r="R12" s="619"/>
      <c r="S12" s="619"/>
      <c r="T12" s="619"/>
      <c r="U12" s="619"/>
      <c r="V12" s="619"/>
      <c r="W12" s="619"/>
      <c r="X12" s="620"/>
      <c r="Y12" s="618"/>
      <c r="Z12" s="619"/>
      <c r="AA12" s="619"/>
      <c r="AB12" s="619"/>
      <c r="AC12" s="619"/>
      <c r="AD12" s="619"/>
      <c r="AE12" s="619"/>
      <c r="AF12" s="619"/>
      <c r="AG12" s="619"/>
      <c r="AH12" s="619"/>
      <c r="AI12" s="619"/>
      <c r="AJ12" s="619"/>
      <c r="AK12" s="619"/>
      <c r="AL12" s="619"/>
      <c r="AM12" s="619"/>
      <c r="AN12" s="620"/>
      <c r="AO12" s="615" t="s">
        <v>510</v>
      </c>
      <c r="AP12" s="616"/>
      <c r="AQ12" s="616"/>
      <c r="AR12" s="616"/>
      <c r="AS12" s="616"/>
      <c r="AT12" s="616"/>
      <c r="AU12" s="616"/>
      <c r="AV12" s="616"/>
      <c r="AW12" s="616"/>
      <c r="AX12" s="616"/>
      <c r="AY12" s="616"/>
      <c r="AZ12" s="616"/>
      <c r="BA12" s="616"/>
      <c r="BB12" s="616"/>
      <c r="BC12" s="616"/>
      <c r="BD12" s="616"/>
      <c r="BE12" s="617"/>
      <c r="BF12" s="630" t="s">
        <v>29</v>
      </c>
      <c r="BG12" s="631"/>
      <c r="BH12" s="631"/>
      <c r="BI12" s="631"/>
      <c r="BJ12" s="631"/>
      <c r="BK12" s="631"/>
      <c r="BL12" s="631"/>
      <c r="BM12" s="631"/>
      <c r="BN12" s="631"/>
      <c r="BO12" s="631"/>
      <c r="BP12" s="631"/>
      <c r="BQ12" s="631"/>
      <c r="BR12" s="631"/>
      <c r="BS12" s="631"/>
      <c r="BT12" s="631"/>
      <c r="BU12" s="631"/>
      <c r="BV12" s="631"/>
      <c r="BW12" s="631"/>
      <c r="BX12" s="631"/>
      <c r="BY12" s="631"/>
      <c r="BZ12" s="631"/>
      <c r="CA12" s="631"/>
      <c r="CB12" s="631"/>
      <c r="CC12" s="631"/>
      <c r="CD12" s="631"/>
      <c r="CE12" s="631"/>
      <c r="CF12" s="631"/>
      <c r="CG12" s="631"/>
      <c r="CH12" s="631"/>
      <c r="CI12" s="631"/>
      <c r="CJ12" s="631"/>
      <c r="CK12" s="631"/>
      <c r="CL12" s="631"/>
      <c r="CM12" s="631"/>
      <c r="CN12" s="631"/>
      <c r="CO12" s="631"/>
      <c r="CP12" s="631"/>
      <c r="CQ12" s="631"/>
      <c r="CR12" s="631"/>
      <c r="CS12" s="631"/>
      <c r="CT12" s="631"/>
      <c r="CU12" s="631"/>
      <c r="CV12" s="631"/>
      <c r="CW12" s="631"/>
      <c r="CX12" s="631"/>
      <c r="CY12" s="631"/>
      <c r="CZ12" s="631"/>
      <c r="DA12" s="631"/>
      <c r="DB12" s="631"/>
      <c r="DC12" s="631"/>
      <c r="DD12" s="631"/>
      <c r="DE12" s="631"/>
      <c r="DF12" s="631"/>
      <c r="DG12" s="631"/>
      <c r="DH12" s="632"/>
      <c r="DI12" s="618"/>
      <c r="DJ12" s="619"/>
      <c r="DK12" s="619"/>
      <c r="DL12" s="619"/>
      <c r="DM12" s="619"/>
      <c r="DN12" s="619"/>
      <c r="DO12" s="619"/>
      <c r="DP12" s="619"/>
      <c r="DQ12" s="619"/>
      <c r="DR12" s="619"/>
      <c r="DS12" s="619"/>
      <c r="DT12" s="619"/>
      <c r="DU12" s="619"/>
      <c r="DV12" s="619"/>
      <c r="DW12" s="619"/>
      <c r="DX12" s="620"/>
      <c r="DY12" s="618"/>
      <c r="DZ12" s="619"/>
      <c r="EA12" s="618"/>
      <c r="EB12" s="170"/>
    </row>
    <row r="13" spans="1:132" ht="117" customHeight="1">
      <c r="A13" s="621"/>
      <c r="B13" s="622"/>
      <c r="C13" s="622"/>
      <c r="D13" s="622"/>
      <c r="E13" s="622"/>
      <c r="F13" s="623"/>
      <c r="G13" s="621"/>
      <c r="H13" s="622"/>
      <c r="I13" s="622"/>
      <c r="J13" s="622"/>
      <c r="K13" s="622"/>
      <c r="L13" s="622"/>
      <c r="M13" s="622"/>
      <c r="N13" s="622"/>
      <c r="O13" s="622"/>
      <c r="P13" s="622"/>
      <c r="Q13" s="622"/>
      <c r="R13" s="622"/>
      <c r="S13" s="622"/>
      <c r="T13" s="622"/>
      <c r="U13" s="622"/>
      <c r="V13" s="622"/>
      <c r="W13" s="622"/>
      <c r="X13" s="623"/>
      <c r="Y13" s="621"/>
      <c r="Z13" s="622"/>
      <c r="AA13" s="622"/>
      <c r="AB13" s="622"/>
      <c r="AC13" s="622"/>
      <c r="AD13" s="622"/>
      <c r="AE13" s="622"/>
      <c r="AF13" s="622"/>
      <c r="AG13" s="622"/>
      <c r="AH13" s="622"/>
      <c r="AI13" s="622"/>
      <c r="AJ13" s="622"/>
      <c r="AK13" s="622"/>
      <c r="AL13" s="622"/>
      <c r="AM13" s="622"/>
      <c r="AN13" s="623"/>
      <c r="AO13" s="621"/>
      <c r="AP13" s="622"/>
      <c r="AQ13" s="622"/>
      <c r="AR13" s="622"/>
      <c r="AS13" s="622"/>
      <c r="AT13" s="622"/>
      <c r="AU13" s="622"/>
      <c r="AV13" s="622"/>
      <c r="AW13" s="622"/>
      <c r="AX13" s="622"/>
      <c r="AY13" s="622"/>
      <c r="AZ13" s="622"/>
      <c r="BA13" s="622"/>
      <c r="BB13" s="622"/>
      <c r="BC13" s="622"/>
      <c r="BD13" s="622"/>
      <c r="BE13" s="623"/>
      <c r="BF13" s="634" t="s">
        <v>316</v>
      </c>
      <c r="BG13" s="634"/>
      <c r="BH13" s="634"/>
      <c r="BI13" s="634"/>
      <c r="BJ13" s="634"/>
      <c r="BK13" s="634"/>
      <c r="BL13" s="634"/>
      <c r="BM13" s="634"/>
      <c r="BN13" s="634"/>
      <c r="BO13" s="634"/>
      <c r="BP13" s="634"/>
      <c r="BQ13" s="634"/>
      <c r="BR13" s="634"/>
      <c r="BS13" s="634"/>
      <c r="BT13" s="634"/>
      <c r="BU13" s="634"/>
      <c r="BV13" s="634"/>
      <c r="BW13" s="634"/>
      <c r="BX13" s="634" t="s">
        <v>317</v>
      </c>
      <c r="BY13" s="634"/>
      <c r="BZ13" s="634"/>
      <c r="CA13" s="634"/>
      <c r="CB13" s="634"/>
      <c r="CC13" s="634"/>
      <c r="CD13" s="634"/>
      <c r="CE13" s="634"/>
      <c r="CF13" s="634"/>
      <c r="CG13" s="634"/>
      <c r="CH13" s="634"/>
      <c r="CI13" s="634"/>
      <c r="CJ13" s="634"/>
      <c r="CK13" s="634"/>
      <c r="CL13" s="634"/>
      <c r="CM13" s="634"/>
      <c r="CN13" s="634"/>
      <c r="CO13" s="634"/>
      <c r="CP13" s="634"/>
      <c r="CQ13" s="634" t="s">
        <v>318</v>
      </c>
      <c r="CR13" s="634"/>
      <c r="CS13" s="634"/>
      <c r="CT13" s="634"/>
      <c r="CU13" s="634"/>
      <c r="CV13" s="634"/>
      <c r="CW13" s="634"/>
      <c r="CX13" s="634"/>
      <c r="CY13" s="634"/>
      <c r="CZ13" s="634"/>
      <c r="DA13" s="634"/>
      <c r="DB13" s="634"/>
      <c r="DC13" s="634"/>
      <c r="DD13" s="634"/>
      <c r="DE13" s="634"/>
      <c r="DF13" s="634"/>
      <c r="DG13" s="634"/>
      <c r="DH13" s="634"/>
      <c r="DI13" s="621"/>
      <c r="DJ13" s="622"/>
      <c r="DK13" s="622"/>
      <c r="DL13" s="622"/>
      <c r="DM13" s="622"/>
      <c r="DN13" s="622"/>
      <c r="DO13" s="622"/>
      <c r="DP13" s="622"/>
      <c r="DQ13" s="622"/>
      <c r="DR13" s="622"/>
      <c r="DS13" s="622"/>
      <c r="DT13" s="622"/>
      <c r="DU13" s="622"/>
      <c r="DV13" s="622"/>
      <c r="DW13" s="622"/>
      <c r="DX13" s="623"/>
      <c r="DY13" s="621"/>
      <c r="DZ13" s="622"/>
      <c r="EA13" s="621"/>
      <c r="EB13" s="170"/>
    </row>
    <row r="14" spans="1:132" ht="12.75">
      <c r="A14" s="633">
        <v>1</v>
      </c>
      <c r="B14" s="633"/>
      <c r="C14" s="633"/>
      <c r="D14" s="633"/>
      <c r="E14" s="633"/>
      <c r="F14" s="633"/>
      <c r="G14" s="633">
        <v>2</v>
      </c>
      <c r="H14" s="633"/>
      <c r="I14" s="633"/>
      <c r="J14" s="633"/>
      <c r="K14" s="633"/>
      <c r="L14" s="633"/>
      <c r="M14" s="633"/>
      <c r="N14" s="633"/>
      <c r="O14" s="633"/>
      <c r="P14" s="633"/>
      <c r="Q14" s="633"/>
      <c r="R14" s="633"/>
      <c r="S14" s="633"/>
      <c r="T14" s="633"/>
      <c r="U14" s="633"/>
      <c r="V14" s="633"/>
      <c r="W14" s="633"/>
      <c r="X14" s="633"/>
      <c r="Y14" s="633">
        <v>3</v>
      </c>
      <c r="Z14" s="633"/>
      <c r="AA14" s="633"/>
      <c r="AB14" s="633"/>
      <c r="AC14" s="633"/>
      <c r="AD14" s="633"/>
      <c r="AE14" s="633"/>
      <c r="AF14" s="633"/>
      <c r="AG14" s="633"/>
      <c r="AH14" s="633"/>
      <c r="AI14" s="633"/>
      <c r="AJ14" s="633"/>
      <c r="AK14" s="633"/>
      <c r="AL14" s="633"/>
      <c r="AM14" s="633"/>
      <c r="AN14" s="633"/>
      <c r="AO14" s="633">
        <v>4</v>
      </c>
      <c r="AP14" s="633"/>
      <c r="AQ14" s="633"/>
      <c r="AR14" s="633"/>
      <c r="AS14" s="633"/>
      <c r="AT14" s="633"/>
      <c r="AU14" s="633"/>
      <c r="AV14" s="633"/>
      <c r="AW14" s="633"/>
      <c r="AX14" s="633"/>
      <c r="AY14" s="633"/>
      <c r="AZ14" s="633"/>
      <c r="BA14" s="633"/>
      <c r="BB14" s="633"/>
      <c r="BC14" s="633"/>
      <c r="BD14" s="633"/>
      <c r="BE14" s="633"/>
      <c r="BF14" s="633">
        <v>5</v>
      </c>
      <c r="BG14" s="633"/>
      <c r="BH14" s="633"/>
      <c r="BI14" s="633"/>
      <c r="BJ14" s="633"/>
      <c r="BK14" s="633"/>
      <c r="BL14" s="633"/>
      <c r="BM14" s="633"/>
      <c r="BN14" s="633"/>
      <c r="BO14" s="633"/>
      <c r="BP14" s="633"/>
      <c r="BQ14" s="633"/>
      <c r="BR14" s="633"/>
      <c r="BS14" s="633"/>
      <c r="BT14" s="633"/>
      <c r="BU14" s="633"/>
      <c r="BV14" s="633"/>
      <c r="BW14" s="633"/>
      <c r="BX14" s="633">
        <v>6</v>
      </c>
      <c r="BY14" s="633"/>
      <c r="BZ14" s="633"/>
      <c r="CA14" s="633"/>
      <c r="CB14" s="633"/>
      <c r="CC14" s="633"/>
      <c r="CD14" s="633"/>
      <c r="CE14" s="633"/>
      <c r="CF14" s="633"/>
      <c r="CG14" s="633"/>
      <c r="CH14" s="633"/>
      <c r="CI14" s="633"/>
      <c r="CJ14" s="633"/>
      <c r="CK14" s="633"/>
      <c r="CL14" s="633"/>
      <c r="CM14" s="633"/>
      <c r="CN14" s="633"/>
      <c r="CO14" s="633"/>
      <c r="CP14" s="633"/>
      <c r="CQ14" s="633">
        <v>7</v>
      </c>
      <c r="CR14" s="633"/>
      <c r="CS14" s="633"/>
      <c r="CT14" s="633"/>
      <c r="CU14" s="633"/>
      <c r="CV14" s="633"/>
      <c r="CW14" s="633"/>
      <c r="CX14" s="633"/>
      <c r="CY14" s="633"/>
      <c r="CZ14" s="633"/>
      <c r="DA14" s="633"/>
      <c r="DB14" s="633"/>
      <c r="DC14" s="633"/>
      <c r="DD14" s="633"/>
      <c r="DE14" s="633"/>
      <c r="DF14" s="633"/>
      <c r="DG14" s="633"/>
      <c r="DH14" s="633"/>
      <c r="DI14" s="633">
        <v>8</v>
      </c>
      <c r="DJ14" s="633"/>
      <c r="DK14" s="633"/>
      <c r="DL14" s="633"/>
      <c r="DM14" s="633"/>
      <c r="DN14" s="633"/>
      <c r="DO14" s="633"/>
      <c r="DP14" s="633"/>
      <c r="DQ14" s="633"/>
      <c r="DR14" s="633"/>
      <c r="DS14" s="633"/>
      <c r="DT14" s="633"/>
      <c r="DU14" s="633"/>
      <c r="DV14" s="633"/>
      <c r="DW14" s="633"/>
      <c r="DX14" s="633"/>
      <c r="DY14" s="633">
        <v>9</v>
      </c>
      <c r="DZ14" s="633"/>
      <c r="EA14" s="172">
        <v>10</v>
      </c>
      <c r="EB14" s="170"/>
    </row>
    <row r="15" spans="1:132" ht="15.75">
      <c r="A15" s="635" t="s">
        <v>511</v>
      </c>
      <c r="B15" s="635"/>
      <c r="C15" s="635"/>
      <c r="D15" s="635"/>
      <c r="E15" s="635"/>
      <c r="F15" s="635"/>
      <c r="G15" s="636" t="s">
        <v>331</v>
      </c>
      <c r="H15" s="636"/>
      <c r="I15" s="636"/>
      <c r="J15" s="636"/>
      <c r="K15" s="636"/>
      <c r="L15" s="636"/>
      <c r="M15" s="636"/>
      <c r="N15" s="636"/>
      <c r="O15" s="636"/>
      <c r="P15" s="636"/>
      <c r="Q15" s="636"/>
      <c r="R15" s="636"/>
      <c r="S15" s="636"/>
      <c r="T15" s="636"/>
      <c r="U15" s="636"/>
      <c r="V15" s="636"/>
      <c r="W15" s="636"/>
      <c r="X15" s="636"/>
      <c r="Y15" s="637">
        <v>5.5</v>
      </c>
      <c r="Z15" s="637"/>
      <c r="AA15" s="637"/>
      <c r="AB15" s="637"/>
      <c r="AC15" s="637"/>
      <c r="AD15" s="637"/>
      <c r="AE15" s="637"/>
      <c r="AF15" s="637"/>
      <c r="AG15" s="637"/>
      <c r="AH15" s="637"/>
      <c r="AI15" s="637"/>
      <c r="AJ15" s="637"/>
      <c r="AK15" s="637"/>
      <c r="AL15" s="637"/>
      <c r="AM15" s="637"/>
      <c r="AN15" s="637"/>
      <c r="AO15" s="638">
        <f aca="true" t="shared" si="0" ref="AO15:AO21">BF15+BX15+CQ15</f>
        <v>668.94</v>
      </c>
      <c r="AP15" s="638"/>
      <c r="AQ15" s="638"/>
      <c r="AR15" s="638"/>
      <c r="AS15" s="638"/>
      <c r="AT15" s="638"/>
      <c r="AU15" s="638"/>
      <c r="AV15" s="638"/>
      <c r="AW15" s="638"/>
      <c r="AX15" s="638"/>
      <c r="AY15" s="638"/>
      <c r="AZ15" s="638"/>
      <c r="BA15" s="638"/>
      <c r="BB15" s="638"/>
      <c r="BC15" s="638"/>
      <c r="BD15" s="638"/>
      <c r="BE15" s="638"/>
      <c r="BF15" s="638"/>
      <c r="BG15" s="638"/>
      <c r="BH15" s="638"/>
      <c r="BI15" s="638"/>
      <c r="BJ15" s="638"/>
      <c r="BK15" s="638"/>
      <c r="BL15" s="638"/>
      <c r="BM15" s="638"/>
      <c r="BN15" s="638"/>
      <c r="BO15" s="638"/>
      <c r="BP15" s="638"/>
      <c r="BQ15" s="638"/>
      <c r="BR15" s="638"/>
      <c r="BS15" s="638"/>
      <c r="BT15" s="638"/>
      <c r="BU15" s="638"/>
      <c r="BV15" s="638"/>
      <c r="BW15" s="638"/>
      <c r="BX15" s="638"/>
      <c r="BY15" s="638"/>
      <c r="BZ15" s="638"/>
      <c r="CA15" s="638"/>
      <c r="CB15" s="638"/>
      <c r="CC15" s="638"/>
      <c r="CD15" s="638"/>
      <c r="CE15" s="638"/>
      <c r="CF15" s="638"/>
      <c r="CG15" s="638"/>
      <c r="CH15" s="638"/>
      <c r="CI15" s="638"/>
      <c r="CJ15" s="638"/>
      <c r="CK15" s="638"/>
      <c r="CL15" s="638"/>
      <c r="CM15" s="638"/>
      <c r="CN15" s="638"/>
      <c r="CO15" s="638"/>
      <c r="CP15" s="638"/>
      <c r="CQ15" s="638">
        <f>692.25-23.31</f>
        <v>668.94</v>
      </c>
      <c r="CR15" s="638"/>
      <c r="CS15" s="638"/>
      <c r="CT15" s="638"/>
      <c r="CU15" s="638"/>
      <c r="CV15" s="638"/>
      <c r="CW15" s="638"/>
      <c r="CX15" s="638"/>
      <c r="CY15" s="638"/>
      <c r="CZ15" s="638"/>
      <c r="DA15" s="638"/>
      <c r="DB15" s="638"/>
      <c r="DC15" s="638"/>
      <c r="DD15" s="638"/>
      <c r="DE15" s="638"/>
      <c r="DF15" s="638"/>
      <c r="DG15" s="638"/>
      <c r="DH15" s="638"/>
      <c r="DI15" s="638">
        <f aca="true" t="shared" si="1" ref="DI15:DI21">AO15*0.8</f>
        <v>535.152</v>
      </c>
      <c r="DJ15" s="638"/>
      <c r="DK15" s="638"/>
      <c r="DL15" s="638"/>
      <c r="DM15" s="638"/>
      <c r="DN15" s="638"/>
      <c r="DO15" s="638"/>
      <c r="DP15" s="638"/>
      <c r="DQ15" s="638"/>
      <c r="DR15" s="638"/>
      <c r="DS15" s="638"/>
      <c r="DT15" s="638"/>
      <c r="DU15" s="638"/>
      <c r="DV15" s="638"/>
      <c r="DW15" s="638"/>
      <c r="DX15" s="638"/>
      <c r="DY15" s="639">
        <f>AO15*0.7</f>
        <v>468.258</v>
      </c>
      <c r="DZ15" s="639"/>
      <c r="EA15" s="235">
        <f>Y15*(AO15+DI15+DY15)*12-0.1</f>
        <v>110375</v>
      </c>
      <c r="EB15" s="170"/>
    </row>
    <row r="16" spans="1:132" ht="15.75">
      <c r="A16" s="635" t="s">
        <v>393</v>
      </c>
      <c r="B16" s="635"/>
      <c r="C16" s="635"/>
      <c r="D16" s="635"/>
      <c r="E16" s="635"/>
      <c r="F16" s="635"/>
      <c r="G16" s="636" t="s">
        <v>332</v>
      </c>
      <c r="H16" s="636"/>
      <c r="I16" s="636"/>
      <c r="J16" s="636"/>
      <c r="K16" s="636"/>
      <c r="L16" s="636"/>
      <c r="M16" s="636"/>
      <c r="N16" s="636"/>
      <c r="O16" s="636"/>
      <c r="P16" s="636"/>
      <c r="Q16" s="636"/>
      <c r="R16" s="636"/>
      <c r="S16" s="636"/>
      <c r="T16" s="636"/>
      <c r="U16" s="636"/>
      <c r="V16" s="636"/>
      <c r="W16" s="636"/>
      <c r="X16" s="636"/>
      <c r="Y16" s="637">
        <v>6.5</v>
      </c>
      <c r="Z16" s="637"/>
      <c r="AA16" s="637"/>
      <c r="AB16" s="637"/>
      <c r="AC16" s="637"/>
      <c r="AD16" s="637"/>
      <c r="AE16" s="637"/>
      <c r="AF16" s="637"/>
      <c r="AG16" s="637"/>
      <c r="AH16" s="637"/>
      <c r="AI16" s="637"/>
      <c r="AJ16" s="637"/>
      <c r="AK16" s="637"/>
      <c r="AL16" s="637"/>
      <c r="AM16" s="637"/>
      <c r="AN16" s="637"/>
      <c r="AO16" s="638">
        <f t="shared" si="0"/>
        <v>1007</v>
      </c>
      <c r="AP16" s="638"/>
      <c r="AQ16" s="638"/>
      <c r="AR16" s="638"/>
      <c r="AS16" s="638"/>
      <c r="AT16" s="638"/>
      <c r="AU16" s="638"/>
      <c r="AV16" s="638"/>
      <c r="AW16" s="638"/>
      <c r="AX16" s="638"/>
      <c r="AY16" s="638"/>
      <c r="AZ16" s="638"/>
      <c r="BA16" s="638"/>
      <c r="BB16" s="638"/>
      <c r="BC16" s="638"/>
      <c r="BD16" s="638"/>
      <c r="BE16" s="638"/>
      <c r="BF16" s="638"/>
      <c r="BG16" s="638"/>
      <c r="BH16" s="638"/>
      <c r="BI16" s="638"/>
      <c r="BJ16" s="638"/>
      <c r="BK16" s="638"/>
      <c r="BL16" s="638"/>
      <c r="BM16" s="638"/>
      <c r="BN16" s="638"/>
      <c r="BO16" s="638"/>
      <c r="BP16" s="638"/>
      <c r="BQ16" s="638"/>
      <c r="BR16" s="638"/>
      <c r="BS16" s="638"/>
      <c r="BT16" s="638"/>
      <c r="BU16" s="638"/>
      <c r="BV16" s="638"/>
      <c r="BW16" s="638"/>
      <c r="BX16" s="638"/>
      <c r="BY16" s="638"/>
      <c r="BZ16" s="638"/>
      <c r="CA16" s="638"/>
      <c r="CB16" s="638"/>
      <c r="CC16" s="638"/>
      <c r="CD16" s="638"/>
      <c r="CE16" s="638"/>
      <c r="CF16" s="638"/>
      <c r="CG16" s="638"/>
      <c r="CH16" s="638"/>
      <c r="CI16" s="638"/>
      <c r="CJ16" s="638"/>
      <c r="CK16" s="638"/>
      <c r="CL16" s="638"/>
      <c r="CM16" s="638"/>
      <c r="CN16" s="638"/>
      <c r="CO16" s="638"/>
      <c r="CP16" s="638"/>
      <c r="CQ16" s="638">
        <v>1007</v>
      </c>
      <c r="CR16" s="638"/>
      <c r="CS16" s="638"/>
      <c r="CT16" s="638"/>
      <c r="CU16" s="638"/>
      <c r="CV16" s="638"/>
      <c r="CW16" s="638"/>
      <c r="CX16" s="638"/>
      <c r="CY16" s="638"/>
      <c r="CZ16" s="638"/>
      <c r="DA16" s="638"/>
      <c r="DB16" s="638"/>
      <c r="DC16" s="638"/>
      <c r="DD16" s="638"/>
      <c r="DE16" s="638"/>
      <c r="DF16" s="638"/>
      <c r="DG16" s="638"/>
      <c r="DH16" s="638"/>
      <c r="DI16" s="638">
        <f t="shared" si="1"/>
        <v>805.6</v>
      </c>
      <c r="DJ16" s="638"/>
      <c r="DK16" s="638"/>
      <c r="DL16" s="638"/>
      <c r="DM16" s="638"/>
      <c r="DN16" s="638"/>
      <c r="DO16" s="638"/>
      <c r="DP16" s="638"/>
      <c r="DQ16" s="638"/>
      <c r="DR16" s="638"/>
      <c r="DS16" s="638"/>
      <c r="DT16" s="638"/>
      <c r="DU16" s="638"/>
      <c r="DV16" s="638"/>
      <c r="DW16" s="638"/>
      <c r="DX16" s="638"/>
      <c r="DY16" s="639">
        <f aca="true" t="shared" si="2" ref="DY16:DY21">AO16*0.7</f>
        <v>704.9</v>
      </c>
      <c r="DZ16" s="639"/>
      <c r="EA16" s="235">
        <f>Y16*(AO16+DI16+DY16)*12</f>
        <v>196365</v>
      </c>
      <c r="EB16" s="170"/>
    </row>
    <row r="17" spans="1:132" ht="15.75">
      <c r="A17" s="635" t="s">
        <v>405</v>
      </c>
      <c r="B17" s="635"/>
      <c r="C17" s="635"/>
      <c r="D17" s="635"/>
      <c r="E17" s="635"/>
      <c r="F17" s="635"/>
      <c r="G17" s="636" t="s">
        <v>333</v>
      </c>
      <c r="H17" s="636"/>
      <c r="I17" s="636"/>
      <c r="J17" s="636"/>
      <c r="K17" s="636"/>
      <c r="L17" s="636"/>
      <c r="M17" s="636"/>
      <c r="N17" s="636"/>
      <c r="O17" s="636"/>
      <c r="P17" s="636"/>
      <c r="Q17" s="636"/>
      <c r="R17" s="636"/>
      <c r="S17" s="636"/>
      <c r="T17" s="636"/>
      <c r="U17" s="636"/>
      <c r="V17" s="636"/>
      <c r="W17" s="636"/>
      <c r="X17" s="636"/>
      <c r="Y17" s="637">
        <v>1</v>
      </c>
      <c r="Z17" s="637"/>
      <c r="AA17" s="637"/>
      <c r="AB17" s="637"/>
      <c r="AC17" s="637"/>
      <c r="AD17" s="637"/>
      <c r="AE17" s="637"/>
      <c r="AF17" s="637"/>
      <c r="AG17" s="637"/>
      <c r="AH17" s="637"/>
      <c r="AI17" s="637"/>
      <c r="AJ17" s="637"/>
      <c r="AK17" s="637"/>
      <c r="AL17" s="637"/>
      <c r="AM17" s="637"/>
      <c r="AN17" s="637"/>
      <c r="AO17" s="638">
        <f t="shared" si="0"/>
        <v>1644</v>
      </c>
      <c r="AP17" s="638"/>
      <c r="AQ17" s="638"/>
      <c r="AR17" s="638"/>
      <c r="AS17" s="638"/>
      <c r="AT17" s="638"/>
      <c r="AU17" s="638"/>
      <c r="AV17" s="638"/>
      <c r="AW17" s="638"/>
      <c r="AX17" s="638"/>
      <c r="AY17" s="638"/>
      <c r="AZ17" s="638"/>
      <c r="BA17" s="638"/>
      <c r="BB17" s="638"/>
      <c r="BC17" s="638"/>
      <c r="BD17" s="638"/>
      <c r="BE17" s="638"/>
      <c r="BF17" s="638"/>
      <c r="BG17" s="638"/>
      <c r="BH17" s="638"/>
      <c r="BI17" s="638"/>
      <c r="BJ17" s="638"/>
      <c r="BK17" s="638"/>
      <c r="BL17" s="638"/>
      <c r="BM17" s="638"/>
      <c r="BN17" s="638"/>
      <c r="BO17" s="638"/>
      <c r="BP17" s="638"/>
      <c r="BQ17" s="638"/>
      <c r="BR17" s="638"/>
      <c r="BS17" s="638"/>
      <c r="BT17" s="638"/>
      <c r="BU17" s="638"/>
      <c r="BV17" s="638"/>
      <c r="BW17" s="638"/>
      <c r="BX17" s="638"/>
      <c r="BY17" s="638"/>
      <c r="BZ17" s="638"/>
      <c r="CA17" s="638"/>
      <c r="CB17" s="638"/>
      <c r="CC17" s="638"/>
      <c r="CD17" s="638"/>
      <c r="CE17" s="638"/>
      <c r="CF17" s="638"/>
      <c r="CG17" s="638"/>
      <c r="CH17" s="638"/>
      <c r="CI17" s="638"/>
      <c r="CJ17" s="638"/>
      <c r="CK17" s="638"/>
      <c r="CL17" s="638"/>
      <c r="CM17" s="638"/>
      <c r="CN17" s="638"/>
      <c r="CO17" s="638"/>
      <c r="CP17" s="638"/>
      <c r="CQ17" s="638">
        <v>1644</v>
      </c>
      <c r="CR17" s="638"/>
      <c r="CS17" s="638"/>
      <c r="CT17" s="638"/>
      <c r="CU17" s="638"/>
      <c r="CV17" s="638"/>
      <c r="CW17" s="638"/>
      <c r="CX17" s="638"/>
      <c r="CY17" s="638"/>
      <c r="CZ17" s="638"/>
      <c r="DA17" s="638"/>
      <c r="DB17" s="638"/>
      <c r="DC17" s="638"/>
      <c r="DD17" s="638"/>
      <c r="DE17" s="638"/>
      <c r="DF17" s="638"/>
      <c r="DG17" s="638"/>
      <c r="DH17" s="638"/>
      <c r="DI17" s="638">
        <f t="shared" si="1"/>
        <v>1315.2</v>
      </c>
      <c r="DJ17" s="638"/>
      <c r="DK17" s="638"/>
      <c r="DL17" s="638"/>
      <c r="DM17" s="638"/>
      <c r="DN17" s="638"/>
      <c r="DO17" s="638"/>
      <c r="DP17" s="638"/>
      <c r="DQ17" s="638"/>
      <c r="DR17" s="638"/>
      <c r="DS17" s="638"/>
      <c r="DT17" s="638"/>
      <c r="DU17" s="638"/>
      <c r="DV17" s="638"/>
      <c r="DW17" s="638"/>
      <c r="DX17" s="638"/>
      <c r="DY17" s="639">
        <f t="shared" si="2"/>
        <v>1150.8</v>
      </c>
      <c r="DZ17" s="639"/>
      <c r="EA17" s="235">
        <f>(AO17+DI17+DY17)*12</f>
        <v>49320</v>
      </c>
      <c r="EB17" s="170"/>
    </row>
    <row r="18" spans="1:132" ht="15.75">
      <c r="A18" s="635" t="s">
        <v>512</v>
      </c>
      <c r="B18" s="635"/>
      <c r="C18" s="635"/>
      <c r="D18" s="635"/>
      <c r="E18" s="635"/>
      <c r="F18" s="635"/>
      <c r="G18" s="636" t="s">
        <v>334</v>
      </c>
      <c r="H18" s="636"/>
      <c r="I18" s="636"/>
      <c r="J18" s="636"/>
      <c r="K18" s="636"/>
      <c r="L18" s="636"/>
      <c r="M18" s="636"/>
      <c r="N18" s="636"/>
      <c r="O18" s="636"/>
      <c r="P18" s="636"/>
      <c r="Q18" s="636"/>
      <c r="R18" s="636"/>
      <c r="S18" s="636"/>
      <c r="T18" s="636"/>
      <c r="U18" s="636"/>
      <c r="V18" s="636"/>
      <c r="W18" s="636"/>
      <c r="X18" s="636"/>
      <c r="Y18" s="637">
        <v>1</v>
      </c>
      <c r="Z18" s="637"/>
      <c r="AA18" s="637"/>
      <c r="AB18" s="637"/>
      <c r="AC18" s="637"/>
      <c r="AD18" s="637"/>
      <c r="AE18" s="637"/>
      <c r="AF18" s="637"/>
      <c r="AG18" s="637"/>
      <c r="AH18" s="637"/>
      <c r="AI18" s="637"/>
      <c r="AJ18" s="637"/>
      <c r="AK18" s="637"/>
      <c r="AL18" s="637"/>
      <c r="AM18" s="637"/>
      <c r="AN18" s="637"/>
      <c r="AO18" s="638">
        <f t="shared" si="0"/>
        <v>1047</v>
      </c>
      <c r="AP18" s="638"/>
      <c r="AQ18" s="638"/>
      <c r="AR18" s="638"/>
      <c r="AS18" s="638"/>
      <c r="AT18" s="638"/>
      <c r="AU18" s="638"/>
      <c r="AV18" s="638"/>
      <c r="AW18" s="638"/>
      <c r="AX18" s="638"/>
      <c r="AY18" s="638"/>
      <c r="AZ18" s="638"/>
      <c r="BA18" s="638"/>
      <c r="BB18" s="638"/>
      <c r="BC18" s="638"/>
      <c r="BD18" s="638"/>
      <c r="BE18" s="638"/>
      <c r="BF18" s="638"/>
      <c r="BG18" s="638"/>
      <c r="BH18" s="638"/>
      <c r="BI18" s="638"/>
      <c r="BJ18" s="638"/>
      <c r="BK18" s="638"/>
      <c r="BL18" s="638"/>
      <c r="BM18" s="638"/>
      <c r="BN18" s="638"/>
      <c r="BO18" s="638"/>
      <c r="BP18" s="638"/>
      <c r="BQ18" s="638"/>
      <c r="BR18" s="638"/>
      <c r="BS18" s="638"/>
      <c r="BT18" s="638"/>
      <c r="BU18" s="638"/>
      <c r="BV18" s="638"/>
      <c r="BW18" s="638"/>
      <c r="BX18" s="638"/>
      <c r="BY18" s="638"/>
      <c r="BZ18" s="638"/>
      <c r="CA18" s="638"/>
      <c r="CB18" s="638"/>
      <c r="CC18" s="638"/>
      <c r="CD18" s="638"/>
      <c r="CE18" s="638"/>
      <c r="CF18" s="638"/>
      <c r="CG18" s="638"/>
      <c r="CH18" s="638"/>
      <c r="CI18" s="638"/>
      <c r="CJ18" s="638"/>
      <c r="CK18" s="638"/>
      <c r="CL18" s="638"/>
      <c r="CM18" s="638"/>
      <c r="CN18" s="638"/>
      <c r="CO18" s="638"/>
      <c r="CP18" s="638"/>
      <c r="CQ18" s="638">
        <v>1047</v>
      </c>
      <c r="CR18" s="638"/>
      <c r="CS18" s="638"/>
      <c r="CT18" s="638"/>
      <c r="CU18" s="638"/>
      <c r="CV18" s="638"/>
      <c r="CW18" s="638"/>
      <c r="CX18" s="638"/>
      <c r="CY18" s="638"/>
      <c r="CZ18" s="638"/>
      <c r="DA18" s="638"/>
      <c r="DB18" s="638"/>
      <c r="DC18" s="638"/>
      <c r="DD18" s="638"/>
      <c r="DE18" s="638"/>
      <c r="DF18" s="638"/>
      <c r="DG18" s="638"/>
      <c r="DH18" s="638"/>
      <c r="DI18" s="638">
        <f t="shared" si="1"/>
        <v>837.6</v>
      </c>
      <c r="DJ18" s="638"/>
      <c r="DK18" s="638"/>
      <c r="DL18" s="638"/>
      <c r="DM18" s="638"/>
      <c r="DN18" s="638"/>
      <c r="DO18" s="638"/>
      <c r="DP18" s="638"/>
      <c r="DQ18" s="638"/>
      <c r="DR18" s="638"/>
      <c r="DS18" s="638"/>
      <c r="DT18" s="638"/>
      <c r="DU18" s="638"/>
      <c r="DV18" s="638"/>
      <c r="DW18" s="638"/>
      <c r="DX18" s="638"/>
      <c r="DY18" s="639">
        <f t="shared" si="2"/>
        <v>732.9</v>
      </c>
      <c r="DZ18" s="639"/>
      <c r="EA18" s="235">
        <f>(AO18+DI18+DY18)*12</f>
        <v>31410</v>
      </c>
      <c r="EB18" s="170"/>
    </row>
    <row r="19" spans="1:133" ht="15.75">
      <c r="A19" s="635" t="s">
        <v>513</v>
      </c>
      <c r="B19" s="635"/>
      <c r="C19" s="635"/>
      <c r="D19" s="635"/>
      <c r="E19" s="635"/>
      <c r="F19" s="635"/>
      <c r="G19" s="636" t="s">
        <v>335</v>
      </c>
      <c r="H19" s="636"/>
      <c r="I19" s="636"/>
      <c r="J19" s="636"/>
      <c r="K19" s="636"/>
      <c r="L19" s="636"/>
      <c r="M19" s="636"/>
      <c r="N19" s="636"/>
      <c r="O19" s="636"/>
      <c r="P19" s="636"/>
      <c r="Q19" s="636"/>
      <c r="R19" s="636"/>
      <c r="S19" s="636"/>
      <c r="T19" s="636"/>
      <c r="U19" s="636"/>
      <c r="V19" s="636"/>
      <c r="W19" s="636"/>
      <c r="X19" s="636"/>
      <c r="Y19" s="637">
        <v>1</v>
      </c>
      <c r="Z19" s="637"/>
      <c r="AA19" s="637"/>
      <c r="AB19" s="637"/>
      <c r="AC19" s="637"/>
      <c r="AD19" s="637"/>
      <c r="AE19" s="637"/>
      <c r="AF19" s="637"/>
      <c r="AG19" s="637"/>
      <c r="AH19" s="637"/>
      <c r="AI19" s="637"/>
      <c r="AJ19" s="637"/>
      <c r="AK19" s="637"/>
      <c r="AL19" s="637"/>
      <c r="AM19" s="637"/>
      <c r="AN19" s="637"/>
      <c r="AO19" s="638">
        <f t="shared" si="0"/>
        <v>1047</v>
      </c>
      <c r="AP19" s="638"/>
      <c r="AQ19" s="638"/>
      <c r="AR19" s="638"/>
      <c r="AS19" s="638"/>
      <c r="AT19" s="638"/>
      <c r="AU19" s="638"/>
      <c r="AV19" s="638"/>
      <c r="AW19" s="638"/>
      <c r="AX19" s="638"/>
      <c r="AY19" s="638"/>
      <c r="AZ19" s="638"/>
      <c r="BA19" s="638"/>
      <c r="BB19" s="638"/>
      <c r="BC19" s="638"/>
      <c r="BD19" s="638"/>
      <c r="BE19" s="638"/>
      <c r="BF19" s="638"/>
      <c r="BG19" s="638"/>
      <c r="BH19" s="638"/>
      <c r="BI19" s="638"/>
      <c r="BJ19" s="638"/>
      <c r="BK19" s="638"/>
      <c r="BL19" s="638"/>
      <c r="BM19" s="638"/>
      <c r="BN19" s="638"/>
      <c r="BO19" s="638"/>
      <c r="BP19" s="638"/>
      <c r="BQ19" s="638"/>
      <c r="BR19" s="638"/>
      <c r="BS19" s="638"/>
      <c r="BT19" s="638"/>
      <c r="BU19" s="638"/>
      <c r="BV19" s="638"/>
      <c r="BW19" s="638"/>
      <c r="BX19" s="638"/>
      <c r="BY19" s="638"/>
      <c r="BZ19" s="638"/>
      <c r="CA19" s="638"/>
      <c r="CB19" s="638"/>
      <c r="CC19" s="638"/>
      <c r="CD19" s="638"/>
      <c r="CE19" s="638"/>
      <c r="CF19" s="638"/>
      <c r="CG19" s="638"/>
      <c r="CH19" s="638"/>
      <c r="CI19" s="638"/>
      <c r="CJ19" s="638"/>
      <c r="CK19" s="638"/>
      <c r="CL19" s="638"/>
      <c r="CM19" s="638"/>
      <c r="CN19" s="638"/>
      <c r="CO19" s="638"/>
      <c r="CP19" s="638"/>
      <c r="CQ19" s="638">
        <v>1047</v>
      </c>
      <c r="CR19" s="638"/>
      <c r="CS19" s="638"/>
      <c r="CT19" s="638"/>
      <c r="CU19" s="638"/>
      <c r="CV19" s="638"/>
      <c r="CW19" s="638"/>
      <c r="CX19" s="638"/>
      <c r="CY19" s="638"/>
      <c r="CZ19" s="638"/>
      <c r="DA19" s="638"/>
      <c r="DB19" s="638"/>
      <c r="DC19" s="638"/>
      <c r="DD19" s="638"/>
      <c r="DE19" s="638"/>
      <c r="DF19" s="638"/>
      <c r="DG19" s="638"/>
      <c r="DH19" s="638"/>
      <c r="DI19" s="638">
        <f t="shared" si="1"/>
        <v>837.6</v>
      </c>
      <c r="DJ19" s="638"/>
      <c r="DK19" s="638"/>
      <c r="DL19" s="638"/>
      <c r="DM19" s="638"/>
      <c r="DN19" s="638"/>
      <c r="DO19" s="638"/>
      <c r="DP19" s="638"/>
      <c r="DQ19" s="638"/>
      <c r="DR19" s="638"/>
      <c r="DS19" s="638"/>
      <c r="DT19" s="638"/>
      <c r="DU19" s="638"/>
      <c r="DV19" s="638"/>
      <c r="DW19" s="638"/>
      <c r="DX19" s="638"/>
      <c r="DY19" s="639">
        <f t="shared" si="2"/>
        <v>732.9</v>
      </c>
      <c r="DZ19" s="639"/>
      <c r="EA19" s="235">
        <f>(AO19+DI19+DY19)*12</f>
        <v>31410</v>
      </c>
      <c r="EB19" s="265"/>
      <c r="EC19" s="232"/>
    </row>
    <row r="20" spans="1:133" ht="28.5" customHeight="1">
      <c r="A20" s="635" t="s">
        <v>514</v>
      </c>
      <c r="B20" s="635"/>
      <c r="C20" s="635"/>
      <c r="D20" s="635"/>
      <c r="E20" s="635"/>
      <c r="F20" s="635"/>
      <c r="G20" s="636" t="s">
        <v>336</v>
      </c>
      <c r="H20" s="636"/>
      <c r="I20" s="636"/>
      <c r="J20" s="636"/>
      <c r="K20" s="636"/>
      <c r="L20" s="636"/>
      <c r="M20" s="636"/>
      <c r="N20" s="636"/>
      <c r="O20" s="636"/>
      <c r="P20" s="636"/>
      <c r="Q20" s="636"/>
      <c r="R20" s="636"/>
      <c r="S20" s="636"/>
      <c r="T20" s="636"/>
      <c r="U20" s="636"/>
      <c r="V20" s="636"/>
      <c r="W20" s="636"/>
      <c r="X20" s="636"/>
      <c r="Y20" s="637">
        <v>1</v>
      </c>
      <c r="Z20" s="637"/>
      <c r="AA20" s="637"/>
      <c r="AB20" s="637"/>
      <c r="AC20" s="637"/>
      <c r="AD20" s="637"/>
      <c r="AE20" s="637"/>
      <c r="AF20" s="637"/>
      <c r="AG20" s="637"/>
      <c r="AH20" s="637"/>
      <c r="AI20" s="637"/>
      <c r="AJ20" s="637"/>
      <c r="AK20" s="637"/>
      <c r="AL20" s="637"/>
      <c r="AM20" s="637"/>
      <c r="AN20" s="637"/>
      <c r="AO20" s="638">
        <f>BF20+BX20+CQ20</f>
        <v>1047</v>
      </c>
      <c r="AP20" s="638"/>
      <c r="AQ20" s="638"/>
      <c r="AR20" s="638"/>
      <c r="AS20" s="638"/>
      <c r="AT20" s="638"/>
      <c r="AU20" s="638"/>
      <c r="AV20" s="638"/>
      <c r="AW20" s="638"/>
      <c r="AX20" s="638"/>
      <c r="AY20" s="638"/>
      <c r="AZ20" s="638"/>
      <c r="BA20" s="638"/>
      <c r="BB20" s="638"/>
      <c r="BC20" s="638"/>
      <c r="BD20" s="638"/>
      <c r="BE20" s="638"/>
      <c r="BF20" s="638"/>
      <c r="BG20" s="638"/>
      <c r="BH20" s="638"/>
      <c r="BI20" s="638"/>
      <c r="BJ20" s="638"/>
      <c r="BK20" s="638"/>
      <c r="BL20" s="638"/>
      <c r="BM20" s="638"/>
      <c r="BN20" s="638"/>
      <c r="BO20" s="638"/>
      <c r="BP20" s="638"/>
      <c r="BQ20" s="638"/>
      <c r="BR20" s="638"/>
      <c r="BS20" s="638"/>
      <c r="BT20" s="638"/>
      <c r="BU20" s="638"/>
      <c r="BV20" s="638"/>
      <c r="BW20" s="638"/>
      <c r="BX20" s="638"/>
      <c r="BY20" s="638"/>
      <c r="BZ20" s="638"/>
      <c r="CA20" s="638"/>
      <c r="CB20" s="638"/>
      <c r="CC20" s="638"/>
      <c r="CD20" s="638"/>
      <c r="CE20" s="638"/>
      <c r="CF20" s="638"/>
      <c r="CG20" s="638"/>
      <c r="CH20" s="638"/>
      <c r="CI20" s="638"/>
      <c r="CJ20" s="638"/>
      <c r="CK20" s="638"/>
      <c r="CL20" s="638"/>
      <c r="CM20" s="638"/>
      <c r="CN20" s="638"/>
      <c r="CO20" s="638"/>
      <c r="CP20" s="638"/>
      <c r="CQ20" s="638">
        <v>1047</v>
      </c>
      <c r="CR20" s="638"/>
      <c r="CS20" s="638"/>
      <c r="CT20" s="638"/>
      <c r="CU20" s="638"/>
      <c r="CV20" s="638"/>
      <c r="CW20" s="638"/>
      <c r="CX20" s="638"/>
      <c r="CY20" s="638"/>
      <c r="CZ20" s="638"/>
      <c r="DA20" s="638"/>
      <c r="DB20" s="638"/>
      <c r="DC20" s="638"/>
      <c r="DD20" s="638"/>
      <c r="DE20" s="638"/>
      <c r="DF20" s="638"/>
      <c r="DG20" s="638"/>
      <c r="DH20" s="638"/>
      <c r="DI20" s="638">
        <f t="shared" si="1"/>
        <v>837.6</v>
      </c>
      <c r="DJ20" s="638"/>
      <c r="DK20" s="638"/>
      <c r="DL20" s="638"/>
      <c r="DM20" s="638"/>
      <c r="DN20" s="638"/>
      <c r="DO20" s="638"/>
      <c r="DP20" s="638"/>
      <c r="DQ20" s="638"/>
      <c r="DR20" s="638"/>
      <c r="DS20" s="638"/>
      <c r="DT20" s="638"/>
      <c r="DU20" s="638"/>
      <c r="DV20" s="638"/>
      <c r="DW20" s="638"/>
      <c r="DX20" s="638"/>
      <c r="DY20" s="639">
        <f t="shared" si="2"/>
        <v>732.9</v>
      </c>
      <c r="DZ20" s="639"/>
      <c r="EA20" s="235">
        <f>(AO20+DI20+DY20)*12</f>
        <v>31410</v>
      </c>
      <c r="EB20" s="237"/>
      <c r="EC20" s="238">
        <f>EB21-EC21</f>
        <v>0</v>
      </c>
    </row>
    <row r="21" spans="1:133" ht="15.75">
      <c r="A21" s="635" t="s">
        <v>515</v>
      </c>
      <c r="B21" s="635"/>
      <c r="C21" s="635"/>
      <c r="D21" s="635"/>
      <c r="E21" s="635"/>
      <c r="F21" s="635"/>
      <c r="G21" s="636" t="s">
        <v>290</v>
      </c>
      <c r="H21" s="636"/>
      <c r="I21" s="636"/>
      <c r="J21" s="636"/>
      <c r="K21" s="636"/>
      <c r="L21" s="636"/>
      <c r="M21" s="636"/>
      <c r="N21" s="636"/>
      <c r="O21" s="636"/>
      <c r="P21" s="636"/>
      <c r="Q21" s="636"/>
      <c r="R21" s="636"/>
      <c r="S21" s="636"/>
      <c r="T21" s="636"/>
      <c r="U21" s="636"/>
      <c r="V21" s="636"/>
      <c r="W21" s="636"/>
      <c r="X21" s="636"/>
      <c r="Y21" s="637">
        <v>1</v>
      </c>
      <c r="Z21" s="637"/>
      <c r="AA21" s="637"/>
      <c r="AB21" s="637"/>
      <c r="AC21" s="637"/>
      <c r="AD21" s="637"/>
      <c r="AE21" s="637"/>
      <c r="AF21" s="637"/>
      <c r="AG21" s="637"/>
      <c r="AH21" s="637"/>
      <c r="AI21" s="637"/>
      <c r="AJ21" s="637"/>
      <c r="AK21" s="637"/>
      <c r="AL21" s="637"/>
      <c r="AM21" s="637"/>
      <c r="AN21" s="637"/>
      <c r="AO21" s="638">
        <f t="shared" si="0"/>
        <v>1047</v>
      </c>
      <c r="AP21" s="638"/>
      <c r="AQ21" s="638"/>
      <c r="AR21" s="638"/>
      <c r="AS21" s="638"/>
      <c r="AT21" s="638"/>
      <c r="AU21" s="638"/>
      <c r="AV21" s="638"/>
      <c r="AW21" s="638"/>
      <c r="AX21" s="638"/>
      <c r="AY21" s="638"/>
      <c r="AZ21" s="638"/>
      <c r="BA21" s="638"/>
      <c r="BB21" s="638"/>
      <c r="BC21" s="638"/>
      <c r="BD21" s="638"/>
      <c r="BE21" s="638"/>
      <c r="BF21" s="638"/>
      <c r="BG21" s="638"/>
      <c r="BH21" s="638"/>
      <c r="BI21" s="638"/>
      <c r="BJ21" s="638"/>
      <c r="BK21" s="638"/>
      <c r="BL21" s="638"/>
      <c r="BM21" s="638"/>
      <c r="BN21" s="638"/>
      <c r="BO21" s="638"/>
      <c r="BP21" s="638"/>
      <c r="BQ21" s="638"/>
      <c r="BR21" s="638"/>
      <c r="BS21" s="638"/>
      <c r="BT21" s="638"/>
      <c r="BU21" s="638"/>
      <c r="BV21" s="638"/>
      <c r="BW21" s="638"/>
      <c r="BX21" s="638"/>
      <c r="BY21" s="638"/>
      <c r="BZ21" s="638"/>
      <c r="CA21" s="638"/>
      <c r="CB21" s="638"/>
      <c r="CC21" s="638"/>
      <c r="CD21" s="638"/>
      <c r="CE21" s="638"/>
      <c r="CF21" s="638"/>
      <c r="CG21" s="638"/>
      <c r="CH21" s="638"/>
      <c r="CI21" s="638"/>
      <c r="CJ21" s="638"/>
      <c r="CK21" s="638"/>
      <c r="CL21" s="638"/>
      <c r="CM21" s="638"/>
      <c r="CN21" s="638"/>
      <c r="CO21" s="638"/>
      <c r="CP21" s="638"/>
      <c r="CQ21" s="638">
        <f>1047</f>
        <v>1047</v>
      </c>
      <c r="CR21" s="638"/>
      <c r="CS21" s="638"/>
      <c r="CT21" s="638"/>
      <c r="CU21" s="638"/>
      <c r="CV21" s="638"/>
      <c r="CW21" s="638"/>
      <c r="CX21" s="638"/>
      <c r="CY21" s="638"/>
      <c r="CZ21" s="638"/>
      <c r="DA21" s="638"/>
      <c r="DB21" s="638"/>
      <c r="DC21" s="638"/>
      <c r="DD21" s="638"/>
      <c r="DE21" s="638"/>
      <c r="DF21" s="638"/>
      <c r="DG21" s="638"/>
      <c r="DH21" s="638"/>
      <c r="DI21" s="638">
        <f t="shared" si="1"/>
        <v>837.6</v>
      </c>
      <c r="DJ21" s="638"/>
      <c r="DK21" s="638"/>
      <c r="DL21" s="638"/>
      <c r="DM21" s="638"/>
      <c r="DN21" s="638"/>
      <c r="DO21" s="638"/>
      <c r="DP21" s="638"/>
      <c r="DQ21" s="638"/>
      <c r="DR21" s="638"/>
      <c r="DS21" s="638"/>
      <c r="DT21" s="638"/>
      <c r="DU21" s="638"/>
      <c r="DV21" s="638"/>
      <c r="DW21" s="638"/>
      <c r="DX21" s="638"/>
      <c r="DY21" s="639">
        <f t="shared" si="2"/>
        <v>732.9</v>
      </c>
      <c r="DZ21" s="639"/>
      <c r="EA21" s="235">
        <f>(AO21+DI21+DY21)*12</f>
        <v>31410</v>
      </c>
      <c r="EB21" s="237">
        <v>481700</v>
      </c>
      <c r="EC21" s="238">
        <f>EA15+EA16+EA17+EA18+EA19+EA20+EA21</f>
        <v>481700</v>
      </c>
    </row>
    <row r="22" spans="1:133" ht="63.75" customHeight="1">
      <c r="A22" s="173" t="s">
        <v>516</v>
      </c>
      <c r="B22" s="177"/>
      <c r="C22" s="177"/>
      <c r="D22" s="177"/>
      <c r="E22" s="177"/>
      <c r="F22" s="177"/>
      <c r="G22" s="640" t="s">
        <v>517</v>
      </c>
      <c r="H22" s="641"/>
      <c r="I22" s="641"/>
      <c r="J22" s="641"/>
      <c r="K22" s="641"/>
      <c r="L22" s="178"/>
      <c r="M22" s="178"/>
      <c r="N22" s="178"/>
      <c r="O22" s="178"/>
      <c r="P22" s="178"/>
      <c r="Q22" s="178"/>
      <c r="R22" s="178"/>
      <c r="S22" s="178"/>
      <c r="T22" s="178"/>
      <c r="U22" s="178"/>
      <c r="V22" s="178"/>
      <c r="W22" s="178"/>
      <c r="X22" s="178"/>
      <c r="Y22" s="637">
        <v>20</v>
      </c>
      <c r="Z22" s="642"/>
      <c r="AA22" s="177"/>
      <c r="AB22" s="177"/>
      <c r="AC22" s="177"/>
      <c r="AD22" s="177"/>
      <c r="AE22" s="177"/>
      <c r="AF22" s="177"/>
      <c r="AG22" s="177"/>
      <c r="AH22" s="177"/>
      <c r="AI22" s="177"/>
      <c r="AJ22" s="174"/>
      <c r="AK22" s="174"/>
      <c r="AL22" s="174"/>
      <c r="AM22" s="174"/>
      <c r="AN22" s="174"/>
      <c r="AO22" s="638">
        <f>BF22+BX22+DI22+DY22</f>
        <v>23477</v>
      </c>
      <c r="AP22" s="642"/>
      <c r="AQ22" s="174"/>
      <c r="AR22" s="174"/>
      <c r="AS22" s="174"/>
      <c r="AT22" s="174"/>
      <c r="AU22" s="174"/>
      <c r="AV22" s="174"/>
      <c r="AW22" s="174"/>
      <c r="AX22" s="174"/>
      <c r="AY22" s="174"/>
      <c r="AZ22" s="174"/>
      <c r="BA22" s="175"/>
      <c r="BB22" s="175"/>
      <c r="BC22" s="175"/>
      <c r="BD22" s="175"/>
      <c r="BE22" s="175"/>
      <c r="BF22" s="637">
        <v>8121</v>
      </c>
      <c r="BG22" s="642"/>
      <c r="BH22" s="177"/>
      <c r="BI22" s="177"/>
      <c r="BJ22" s="177"/>
      <c r="BK22" s="177"/>
      <c r="BL22" s="177"/>
      <c r="BM22" s="177"/>
      <c r="BN22" s="177"/>
      <c r="BO22" s="177"/>
      <c r="BP22" s="177"/>
      <c r="BQ22" s="177"/>
      <c r="BR22" s="177"/>
      <c r="BS22" s="177"/>
      <c r="BT22" s="175"/>
      <c r="BU22" s="175"/>
      <c r="BV22" s="175"/>
      <c r="BW22" s="175"/>
      <c r="BX22" s="175">
        <f>2667.5+202.8+304.2</f>
        <v>3174.5</v>
      </c>
      <c r="BY22" s="177"/>
      <c r="BZ22" s="177"/>
      <c r="CA22" s="177"/>
      <c r="CB22" s="177"/>
      <c r="CC22" s="177"/>
      <c r="CD22" s="177"/>
      <c r="CE22" s="177"/>
      <c r="CF22" s="177"/>
      <c r="CG22" s="175"/>
      <c r="CH22" s="175"/>
      <c r="CI22" s="175"/>
      <c r="CJ22" s="175"/>
      <c r="CK22" s="175"/>
      <c r="CL22" s="175"/>
      <c r="CM22" s="175"/>
      <c r="CN22" s="175"/>
      <c r="CO22" s="175"/>
      <c r="CP22" s="175"/>
      <c r="CQ22" s="637"/>
      <c r="CR22" s="642"/>
      <c r="CS22" s="177"/>
      <c r="CT22" s="177"/>
      <c r="CU22" s="177"/>
      <c r="CV22" s="177"/>
      <c r="CW22" s="177"/>
      <c r="CX22" s="177"/>
      <c r="CY22" s="177"/>
      <c r="CZ22" s="177"/>
      <c r="DA22" s="177"/>
      <c r="DB22" s="177"/>
      <c r="DC22" s="177"/>
      <c r="DD22" s="175"/>
      <c r="DE22" s="175"/>
      <c r="DF22" s="175"/>
      <c r="DG22" s="175"/>
      <c r="DH22" s="175"/>
      <c r="DI22" s="637">
        <f>BF22*0.8</f>
        <v>6496.8</v>
      </c>
      <c r="DJ22" s="642"/>
      <c r="DK22" s="175"/>
      <c r="DL22" s="175"/>
      <c r="DM22" s="175"/>
      <c r="DN22" s="175"/>
      <c r="DO22" s="175"/>
      <c r="DP22" s="175"/>
      <c r="DQ22" s="175"/>
      <c r="DR22" s="175"/>
      <c r="DS22" s="175"/>
      <c r="DT22" s="175"/>
      <c r="DU22" s="175"/>
      <c r="DV22" s="175"/>
      <c r="DW22" s="175"/>
      <c r="DX22" s="175"/>
      <c r="DY22" s="643">
        <f>BF22*0.7</f>
        <v>5684.7</v>
      </c>
      <c r="DZ22" s="644"/>
      <c r="EA22" s="175">
        <f>Y22*AO22</f>
        <v>469540</v>
      </c>
      <c r="EB22" s="237">
        <v>344550</v>
      </c>
      <c r="EC22" s="238">
        <f>EA22-EB22</f>
        <v>124990</v>
      </c>
    </row>
    <row r="23" spans="1:133" ht="50.25" customHeight="1">
      <c r="A23" s="173" t="s">
        <v>520</v>
      </c>
      <c r="B23" s="177"/>
      <c r="C23" s="177"/>
      <c r="D23" s="177"/>
      <c r="E23" s="177"/>
      <c r="F23" s="177"/>
      <c r="G23" s="640" t="s">
        <v>519</v>
      </c>
      <c r="H23" s="641"/>
      <c r="I23" s="641"/>
      <c r="J23" s="641"/>
      <c r="K23" s="641"/>
      <c r="L23" s="178"/>
      <c r="M23" s="178"/>
      <c r="N23" s="178"/>
      <c r="O23" s="178"/>
      <c r="P23" s="178"/>
      <c r="Q23" s="178"/>
      <c r="R23" s="178"/>
      <c r="S23" s="178"/>
      <c r="T23" s="178"/>
      <c r="U23" s="178"/>
      <c r="V23" s="178"/>
      <c r="W23" s="178"/>
      <c r="X23" s="178"/>
      <c r="Y23" s="637">
        <v>6</v>
      </c>
      <c r="Z23" s="642"/>
      <c r="AA23" s="177"/>
      <c r="AB23" s="177"/>
      <c r="AC23" s="177"/>
      <c r="AD23" s="177"/>
      <c r="AE23" s="177"/>
      <c r="AF23" s="177"/>
      <c r="AG23" s="177"/>
      <c r="AH23" s="177"/>
      <c r="AI23" s="177"/>
      <c r="AJ23" s="174"/>
      <c r="AK23" s="174"/>
      <c r="AL23" s="174"/>
      <c r="AM23" s="174"/>
      <c r="AN23" s="174"/>
      <c r="AO23" s="638">
        <f>BF23+BX23+DI23+DY23+CQ23</f>
        <v>31433.329999999998</v>
      </c>
      <c r="AP23" s="642"/>
      <c r="AQ23" s="174"/>
      <c r="AR23" s="174"/>
      <c r="AS23" s="174"/>
      <c r="AT23" s="174"/>
      <c r="AU23" s="174"/>
      <c r="AV23" s="174"/>
      <c r="AW23" s="174"/>
      <c r="AX23" s="174"/>
      <c r="AY23" s="174"/>
      <c r="AZ23" s="174"/>
      <c r="BA23" s="175"/>
      <c r="BB23" s="175"/>
      <c r="BC23" s="175"/>
      <c r="BD23" s="175"/>
      <c r="BE23" s="175"/>
      <c r="BF23" s="637">
        <v>10918</v>
      </c>
      <c r="BG23" s="642"/>
      <c r="BH23" s="177"/>
      <c r="BI23" s="177"/>
      <c r="BJ23" s="177"/>
      <c r="BK23" s="177"/>
      <c r="BL23" s="177"/>
      <c r="BM23" s="177"/>
      <c r="BN23" s="177"/>
      <c r="BO23" s="177"/>
      <c r="BP23" s="177"/>
      <c r="BQ23" s="177"/>
      <c r="BR23" s="177"/>
      <c r="BS23" s="177"/>
      <c r="BT23" s="175"/>
      <c r="BU23" s="175"/>
      <c r="BV23" s="175"/>
      <c r="BW23" s="175"/>
      <c r="BX23" s="175">
        <v>2321.83</v>
      </c>
      <c r="BY23" s="177"/>
      <c r="BZ23" s="177"/>
      <c r="CA23" s="177"/>
      <c r="CB23" s="177"/>
      <c r="CC23" s="177"/>
      <c r="CD23" s="177"/>
      <c r="CE23" s="177"/>
      <c r="CF23" s="177"/>
      <c r="CG23" s="175"/>
      <c r="CH23" s="175"/>
      <c r="CI23" s="175"/>
      <c r="CJ23" s="175"/>
      <c r="CK23" s="175"/>
      <c r="CL23" s="175"/>
      <c r="CM23" s="175"/>
      <c r="CN23" s="175"/>
      <c r="CO23" s="175"/>
      <c r="CP23" s="175"/>
      <c r="CQ23" s="637">
        <v>1816.5</v>
      </c>
      <c r="CR23" s="642"/>
      <c r="CS23" s="177"/>
      <c r="CT23" s="177"/>
      <c r="CU23" s="177"/>
      <c r="CV23" s="177"/>
      <c r="CW23" s="177"/>
      <c r="CX23" s="177"/>
      <c r="CY23" s="177"/>
      <c r="CZ23" s="177"/>
      <c r="DA23" s="177"/>
      <c r="DB23" s="177"/>
      <c r="DC23" s="177"/>
      <c r="DD23" s="175"/>
      <c r="DE23" s="175"/>
      <c r="DF23" s="175"/>
      <c r="DG23" s="175"/>
      <c r="DH23" s="175"/>
      <c r="DI23" s="637">
        <f>BF23*0.8</f>
        <v>8734.4</v>
      </c>
      <c r="DJ23" s="642"/>
      <c r="DK23" s="175"/>
      <c r="DL23" s="175"/>
      <c r="DM23" s="175"/>
      <c r="DN23" s="175"/>
      <c r="DO23" s="175"/>
      <c r="DP23" s="175"/>
      <c r="DQ23" s="175"/>
      <c r="DR23" s="175"/>
      <c r="DS23" s="175"/>
      <c r="DT23" s="175"/>
      <c r="DU23" s="175"/>
      <c r="DV23" s="175"/>
      <c r="DW23" s="175"/>
      <c r="DX23" s="175"/>
      <c r="DY23" s="643">
        <f>BF23*0.7</f>
        <v>7642.599999999999</v>
      </c>
      <c r="DZ23" s="644"/>
      <c r="EA23" s="175">
        <f>Y23*AO23*1.5+0.03</f>
        <v>282900</v>
      </c>
      <c r="EB23" s="237">
        <v>282900</v>
      </c>
      <c r="EC23" s="238">
        <f>EA23-EB23</f>
        <v>0</v>
      </c>
    </row>
    <row r="24" spans="1:133" ht="15.75">
      <c r="A24" s="645" t="s">
        <v>518</v>
      </c>
      <c r="B24" s="646"/>
      <c r="C24" s="646"/>
      <c r="D24" s="646"/>
      <c r="E24" s="646"/>
      <c r="F24" s="646"/>
      <c r="G24" s="646"/>
      <c r="H24" s="646"/>
      <c r="I24" s="646"/>
      <c r="J24" s="646"/>
      <c r="K24" s="646"/>
      <c r="L24" s="646"/>
      <c r="M24" s="646"/>
      <c r="N24" s="646"/>
      <c r="O24" s="646"/>
      <c r="P24" s="646"/>
      <c r="Q24" s="646"/>
      <c r="R24" s="646"/>
      <c r="S24" s="646"/>
      <c r="T24" s="646"/>
      <c r="U24" s="646"/>
      <c r="V24" s="646"/>
      <c r="W24" s="646"/>
      <c r="X24" s="647"/>
      <c r="Y24" s="637" t="s">
        <v>34</v>
      </c>
      <c r="Z24" s="637"/>
      <c r="AA24" s="637"/>
      <c r="AB24" s="637"/>
      <c r="AC24" s="637"/>
      <c r="AD24" s="637"/>
      <c r="AE24" s="637"/>
      <c r="AF24" s="637"/>
      <c r="AG24" s="637"/>
      <c r="AH24" s="637"/>
      <c r="AI24" s="637"/>
      <c r="AJ24" s="637"/>
      <c r="AK24" s="637"/>
      <c r="AL24" s="637"/>
      <c r="AM24" s="637"/>
      <c r="AN24" s="637"/>
      <c r="AO24" s="638"/>
      <c r="AP24" s="638"/>
      <c r="AQ24" s="638"/>
      <c r="AR24" s="638"/>
      <c r="AS24" s="638"/>
      <c r="AT24" s="638"/>
      <c r="AU24" s="638"/>
      <c r="AV24" s="638"/>
      <c r="AW24" s="638"/>
      <c r="AX24" s="638"/>
      <c r="AY24" s="638"/>
      <c r="AZ24" s="638"/>
      <c r="BA24" s="638"/>
      <c r="BB24" s="638"/>
      <c r="BC24" s="638"/>
      <c r="BD24" s="638"/>
      <c r="BE24" s="638"/>
      <c r="BF24" s="638" t="s">
        <v>34</v>
      </c>
      <c r="BG24" s="638"/>
      <c r="BH24" s="638"/>
      <c r="BI24" s="638"/>
      <c r="BJ24" s="638"/>
      <c r="BK24" s="638"/>
      <c r="BL24" s="638"/>
      <c r="BM24" s="638"/>
      <c r="BN24" s="638"/>
      <c r="BO24" s="638"/>
      <c r="BP24" s="638"/>
      <c r="BQ24" s="638"/>
      <c r="BR24" s="638"/>
      <c r="BS24" s="638"/>
      <c r="BT24" s="638"/>
      <c r="BU24" s="638"/>
      <c r="BV24" s="638"/>
      <c r="BW24" s="638"/>
      <c r="BX24" s="638" t="s">
        <v>34</v>
      </c>
      <c r="BY24" s="638"/>
      <c r="BZ24" s="638"/>
      <c r="CA24" s="638"/>
      <c r="CB24" s="638"/>
      <c r="CC24" s="638"/>
      <c r="CD24" s="638"/>
      <c r="CE24" s="638"/>
      <c r="CF24" s="638"/>
      <c r="CG24" s="638"/>
      <c r="CH24" s="638"/>
      <c r="CI24" s="638"/>
      <c r="CJ24" s="638"/>
      <c r="CK24" s="638"/>
      <c r="CL24" s="638"/>
      <c r="CM24" s="638"/>
      <c r="CN24" s="638"/>
      <c r="CO24" s="638"/>
      <c r="CP24" s="638"/>
      <c r="CQ24" s="638" t="s">
        <v>34</v>
      </c>
      <c r="CR24" s="638"/>
      <c r="CS24" s="638"/>
      <c r="CT24" s="638"/>
      <c r="CU24" s="638"/>
      <c r="CV24" s="638"/>
      <c r="CW24" s="638"/>
      <c r="CX24" s="638"/>
      <c r="CY24" s="638"/>
      <c r="CZ24" s="638"/>
      <c r="DA24" s="638"/>
      <c r="DB24" s="638"/>
      <c r="DC24" s="638"/>
      <c r="DD24" s="638"/>
      <c r="DE24" s="638"/>
      <c r="DF24" s="638"/>
      <c r="DG24" s="638"/>
      <c r="DH24" s="638"/>
      <c r="DI24" s="638" t="s">
        <v>34</v>
      </c>
      <c r="DJ24" s="638"/>
      <c r="DK24" s="638"/>
      <c r="DL24" s="638"/>
      <c r="DM24" s="638"/>
      <c r="DN24" s="638"/>
      <c r="DO24" s="638"/>
      <c r="DP24" s="638"/>
      <c r="DQ24" s="638"/>
      <c r="DR24" s="638"/>
      <c r="DS24" s="638"/>
      <c r="DT24" s="638"/>
      <c r="DU24" s="638"/>
      <c r="DV24" s="638"/>
      <c r="DW24" s="638"/>
      <c r="DX24" s="638"/>
      <c r="DY24" s="638" t="s">
        <v>34</v>
      </c>
      <c r="DZ24" s="638"/>
      <c r="EA24" s="236">
        <f>SUM(EA15:EA23)</f>
        <v>1234140</v>
      </c>
      <c r="EB24" s="237"/>
      <c r="EC24" s="232"/>
    </row>
    <row r="25" spans="132:133" ht="12.75">
      <c r="EB25" s="232"/>
      <c r="EC25" s="232"/>
    </row>
    <row r="26" ht="12.75">
      <c r="EA26" s="256">
        <f>EA24+'ПВ ИЦ'!H8+'НЧ ИЦ'!F16+'244 ИЦ'!H55</f>
        <v>3368240.0034600003</v>
      </c>
    </row>
    <row r="27" ht="12.75">
      <c r="EA27" s="176"/>
    </row>
    <row r="28" ht="12.75">
      <c r="EA28" s="179"/>
    </row>
    <row r="29" ht="12.75">
      <c r="EA29" s="176"/>
    </row>
  </sheetData>
  <sheetProtection/>
  <mergeCells count="112">
    <mergeCell ref="G23:K23"/>
    <mergeCell ref="Y23:Z23"/>
    <mergeCell ref="AO23:AP23"/>
    <mergeCell ref="BF23:BG23"/>
    <mergeCell ref="CQ23:CR23"/>
    <mergeCell ref="DI23:DJ23"/>
    <mergeCell ref="A24:X24"/>
    <mergeCell ref="Y24:AN24"/>
    <mergeCell ref="AO24:BE24"/>
    <mergeCell ref="BF24:BW24"/>
    <mergeCell ref="BX24:CP24"/>
    <mergeCell ref="CQ24:DH24"/>
    <mergeCell ref="DI24:DX24"/>
    <mergeCell ref="DY24:DZ24"/>
    <mergeCell ref="G22:K22"/>
    <mergeCell ref="Y22:Z22"/>
    <mergeCell ref="AO22:AP22"/>
    <mergeCell ref="BF22:BG22"/>
    <mergeCell ref="CQ22:CR22"/>
    <mergeCell ref="DI22:DJ22"/>
    <mergeCell ref="DY23:DZ23"/>
    <mergeCell ref="DY22:DZ22"/>
    <mergeCell ref="CQ21:DH21"/>
    <mergeCell ref="DI21:DX21"/>
    <mergeCell ref="DY21:DZ21"/>
    <mergeCell ref="CQ20:DH20"/>
    <mergeCell ref="DI20:DX20"/>
    <mergeCell ref="DY20:DZ20"/>
    <mergeCell ref="A21:F21"/>
    <mergeCell ref="G21:X21"/>
    <mergeCell ref="Y21:AN21"/>
    <mergeCell ref="AO21:BE21"/>
    <mergeCell ref="BF21:BW21"/>
    <mergeCell ref="BX21:CP21"/>
    <mergeCell ref="A20:F20"/>
    <mergeCell ref="G20:X20"/>
    <mergeCell ref="Y20:AN20"/>
    <mergeCell ref="AO20:BE20"/>
    <mergeCell ref="BF20:BW20"/>
    <mergeCell ref="BX20:CP20"/>
    <mergeCell ref="DY18:DZ18"/>
    <mergeCell ref="A19:F19"/>
    <mergeCell ref="G19:X19"/>
    <mergeCell ref="Y19:AN19"/>
    <mergeCell ref="AO19:BE19"/>
    <mergeCell ref="BF19:BW19"/>
    <mergeCell ref="BX19:CP19"/>
    <mergeCell ref="CQ19:DH19"/>
    <mergeCell ref="DI19:DX19"/>
    <mergeCell ref="DY19:DZ19"/>
    <mergeCell ref="DI17:DX17"/>
    <mergeCell ref="DY17:DZ17"/>
    <mergeCell ref="A18:F18"/>
    <mergeCell ref="G18:X18"/>
    <mergeCell ref="Y18:AN18"/>
    <mergeCell ref="AO18:BE18"/>
    <mergeCell ref="BF18:BW18"/>
    <mergeCell ref="BX18:CP18"/>
    <mergeCell ref="CQ18:DH18"/>
    <mergeCell ref="DI18:DX18"/>
    <mergeCell ref="CQ16:DH16"/>
    <mergeCell ref="DI16:DX16"/>
    <mergeCell ref="DY16:DZ16"/>
    <mergeCell ref="A17:F17"/>
    <mergeCell ref="G17:X17"/>
    <mergeCell ref="Y17:AN17"/>
    <mergeCell ref="AO17:BE17"/>
    <mergeCell ref="BF17:BW17"/>
    <mergeCell ref="BX17:CP17"/>
    <mergeCell ref="CQ17:DH17"/>
    <mergeCell ref="A14:F14"/>
    <mergeCell ref="CQ15:DH15"/>
    <mergeCell ref="DI15:DX15"/>
    <mergeCell ref="DY15:DZ15"/>
    <mergeCell ref="A16:F16"/>
    <mergeCell ref="G16:X16"/>
    <mergeCell ref="Y16:AN16"/>
    <mergeCell ref="AO16:BE16"/>
    <mergeCell ref="BF16:BW16"/>
    <mergeCell ref="BX16:CP16"/>
    <mergeCell ref="A15:F15"/>
    <mergeCell ref="G15:X15"/>
    <mergeCell ref="Y15:AN15"/>
    <mergeCell ref="AO15:BE15"/>
    <mergeCell ref="BF15:BW15"/>
    <mergeCell ref="BX15:CP15"/>
    <mergeCell ref="EA11:EA13"/>
    <mergeCell ref="AO12:BE13"/>
    <mergeCell ref="BF12:DH12"/>
    <mergeCell ref="BF13:BW13"/>
    <mergeCell ref="BX13:CP13"/>
    <mergeCell ref="CQ14:DH14"/>
    <mergeCell ref="DI14:DX14"/>
    <mergeCell ref="DY14:DZ14"/>
    <mergeCell ref="DY11:DZ13"/>
    <mergeCell ref="DI11:DX13"/>
    <mergeCell ref="G14:X14"/>
    <mergeCell ref="Y14:AN14"/>
    <mergeCell ref="AO14:BE14"/>
    <mergeCell ref="BF14:BW14"/>
    <mergeCell ref="BX14:CP14"/>
    <mergeCell ref="CQ13:DH13"/>
    <mergeCell ref="A11:F13"/>
    <mergeCell ref="G11:X13"/>
    <mergeCell ref="A1:EA1"/>
    <mergeCell ref="A3:EA3"/>
    <mergeCell ref="X5:EA5"/>
    <mergeCell ref="A7:AO7"/>
    <mergeCell ref="AP7:EA8"/>
    <mergeCell ref="A9:EA9"/>
    <mergeCell ref="Y11:AN13"/>
    <mergeCell ref="AO11:DH11"/>
  </mergeCells>
  <printOptions/>
  <pageMargins left="0.7" right="0.7" top="0.75" bottom="0.75" header="0.3" footer="0.3"/>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J67"/>
  <sheetViews>
    <sheetView zoomScalePageLayoutView="0" workbookViewId="0" topLeftCell="A1">
      <selection activeCell="A35" sqref="A35:IV35"/>
    </sheetView>
  </sheetViews>
  <sheetFormatPr defaultColWidth="9.33203125" defaultRowHeight="12.75"/>
  <cols>
    <col min="1" max="1" width="7.5" style="38" customWidth="1"/>
    <col min="2" max="2" width="26.33203125" style="38" customWidth="1"/>
    <col min="3" max="3" width="10.5" style="38" customWidth="1"/>
    <col min="4" max="4" width="9.83203125" style="38" customWidth="1"/>
    <col min="5" max="5" width="14.16015625" style="38" customWidth="1"/>
    <col min="6" max="6" width="23" style="38" customWidth="1"/>
    <col min="7" max="7" width="16.5" style="38" customWidth="1"/>
    <col min="8" max="8" width="10.16015625" style="38" bestFit="1" customWidth="1"/>
    <col min="9" max="16384" width="9.33203125" style="38" customWidth="1"/>
  </cols>
  <sheetData>
    <row r="1" spans="1:8" ht="10.5" customHeight="1">
      <c r="A1" s="612" t="s">
        <v>341</v>
      </c>
      <c r="B1" s="612"/>
      <c r="C1" s="612"/>
      <c r="D1" s="612"/>
      <c r="E1" s="612"/>
      <c r="F1" s="612"/>
      <c r="G1" s="612"/>
      <c r="H1" s="612"/>
    </row>
    <row r="2" spans="1:8" ht="21" customHeight="1">
      <c r="A2" s="39" t="s">
        <v>305</v>
      </c>
      <c r="B2" s="39"/>
      <c r="C2" s="40">
        <v>112</v>
      </c>
      <c r="D2" s="39"/>
      <c r="E2" s="39"/>
      <c r="F2" s="39"/>
      <c r="G2" s="39"/>
      <c r="H2" s="39"/>
    </row>
    <row r="3" spans="1:10" ht="48.75" customHeight="1">
      <c r="A3" s="613" t="s">
        <v>342</v>
      </c>
      <c r="B3" s="614"/>
      <c r="C3" s="614"/>
      <c r="D3" s="614"/>
      <c r="E3" s="614"/>
      <c r="F3" s="614"/>
      <c r="G3" s="614"/>
      <c r="H3" s="614"/>
      <c r="I3" s="614"/>
      <c r="J3" s="614"/>
    </row>
    <row r="4" ht="15">
      <c r="A4" s="71" t="s">
        <v>343</v>
      </c>
    </row>
    <row r="5" spans="1:6" ht="39.75" customHeight="1">
      <c r="A5" s="648" t="s">
        <v>344</v>
      </c>
      <c r="B5" s="648"/>
      <c r="C5" s="648"/>
      <c r="D5" s="648"/>
      <c r="E5" s="648"/>
      <c r="F5" s="648"/>
    </row>
    <row r="6" spans="1:6" ht="135">
      <c r="A6" s="41" t="s">
        <v>308</v>
      </c>
      <c r="B6" s="41" t="s">
        <v>345</v>
      </c>
      <c r="C6" s="41" t="s">
        <v>346</v>
      </c>
      <c r="D6" s="41" t="s">
        <v>347</v>
      </c>
      <c r="E6" s="41" t="s">
        <v>348</v>
      </c>
      <c r="F6" s="41" t="s">
        <v>349</v>
      </c>
    </row>
    <row r="7" spans="1:6" ht="15">
      <c r="A7" s="43">
        <v>1</v>
      </c>
      <c r="B7" s="43">
        <v>2</v>
      </c>
      <c r="C7" s="43">
        <v>3</v>
      </c>
      <c r="D7" s="43">
        <v>4</v>
      </c>
      <c r="E7" s="43">
        <v>5</v>
      </c>
      <c r="F7" s="43">
        <v>6</v>
      </c>
    </row>
    <row r="8" spans="1:6" ht="81" customHeight="1">
      <c r="A8" s="46">
        <v>1</v>
      </c>
      <c r="B8" s="45" t="s">
        <v>350</v>
      </c>
      <c r="C8" s="46">
        <v>412.38</v>
      </c>
      <c r="D8" s="46">
        <v>5</v>
      </c>
      <c r="E8" s="46">
        <v>15</v>
      </c>
      <c r="F8" s="72">
        <f>C8*D8*E8-0.5</f>
        <v>30928</v>
      </c>
    </row>
    <row r="9" spans="1:6" ht="15">
      <c r="A9" s="53"/>
      <c r="B9" s="54" t="s">
        <v>351</v>
      </c>
      <c r="C9" s="73">
        <f>C8</f>
        <v>412.38</v>
      </c>
      <c r="D9" s="46">
        <f>D8</f>
        <v>5</v>
      </c>
      <c r="E9" s="46">
        <v>10</v>
      </c>
      <c r="F9" s="72">
        <f>F8</f>
        <v>30928</v>
      </c>
    </row>
    <row r="10" spans="1:6" ht="15" hidden="1">
      <c r="A10" s="74"/>
      <c r="B10" s="74"/>
      <c r="C10" s="74"/>
      <c r="D10" s="74"/>
      <c r="E10" s="74"/>
      <c r="F10" s="74"/>
    </row>
    <row r="11" spans="1:6" ht="14.25" hidden="1">
      <c r="A11" s="649" t="s">
        <v>352</v>
      </c>
      <c r="B11" s="649"/>
      <c r="C11" s="649"/>
      <c r="D11" s="649"/>
      <c r="E11" s="649"/>
      <c r="F11" s="649"/>
    </row>
    <row r="12" spans="1:6" ht="45" customHeight="1" hidden="1">
      <c r="A12" s="41" t="s">
        <v>308</v>
      </c>
      <c r="B12" s="41" t="s">
        <v>345</v>
      </c>
      <c r="C12" s="41" t="s">
        <v>353</v>
      </c>
      <c r="D12" s="41" t="s">
        <v>354</v>
      </c>
      <c r="E12" s="41" t="s">
        <v>355</v>
      </c>
      <c r="F12" s="41" t="s">
        <v>349</v>
      </c>
    </row>
    <row r="13" spans="1:6" ht="15" hidden="1">
      <c r="A13" s="43">
        <v>1</v>
      </c>
      <c r="B13" s="43">
        <v>2</v>
      </c>
      <c r="C13" s="43">
        <v>3</v>
      </c>
      <c r="D13" s="43">
        <v>4</v>
      </c>
      <c r="E13" s="43">
        <v>5</v>
      </c>
      <c r="F13" s="43">
        <v>6</v>
      </c>
    </row>
    <row r="14" spans="1:7" ht="90" customHeight="1" hidden="1">
      <c r="A14" s="46">
        <v>1</v>
      </c>
      <c r="B14" s="239" t="s">
        <v>356</v>
      </c>
      <c r="C14" s="46"/>
      <c r="D14" s="46"/>
      <c r="E14" s="46"/>
      <c r="F14" s="73"/>
      <c r="G14" s="104"/>
    </row>
    <row r="15" spans="1:6" ht="15" hidden="1">
      <c r="A15" s="53"/>
      <c r="B15" s="54" t="s">
        <v>351</v>
      </c>
      <c r="C15" s="46"/>
      <c r="D15" s="46"/>
      <c r="E15" s="46"/>
      <c r="F15" s="73">
        <f>F14</f>
        <v>0</v>
      </c>
    </row>
    <row r="16" spans="1:6" ht="15" hidden="1">
      <c r="A16" s="61"/>
      <c r="B16" s="75"/>
      <c r="C16" s="76"/>
      <c r="D16" s="76"/>
      <c r="E16" s="76"/>
      <c r="F16" s="77"/>
    </row>
    <row r="17" spans="1:7" ht="33" customHeight="1">
      <c r="A17" s="650" t="s">
        <v>357</v>
      </c>
      <c r="B17" s="650"/>
      <c r="C17" s="650"/>
      <c r="D17" s="650"/>
      <c r="E17" s="650"/>
      <c r="F17" s="650"/>
      <c r="G17" s="650"/>
    </row>
    <row r="18" spans="1:7" ht="90">
      <c r="A18" s="78" t="s">
        <v>308</v>
      </c>
      <c r="B18" s="651" t="s">
        <v>345</v>
      </c>
      <c r="C18" s="651"/>
      <c r="D18" s="651"/>
      <c r="E18" s="79" t="s">
        <v>358</v>
      </c>
      <c r="F18" s="79" t="s">
        <v>359</v>
      </c>
      <c r="G18" s="78" t="s">
        <v>360</v>
      </c>
    </row>
    <row r="19" spans="1:7" ht="15">
      <c r="A19" s="78">
        <v>1</v>
      </c>
      <c r="B19" s="651">
        <v>2</v>
      </c>
      <c r="C19" s="651"/>
      <c r="D19" s="651"/>
      <c r="E19" s="79">
        <v>3</v>
      </c>
      <c r="F19" s="79">
        <v>4</v>
      </c>
      <c r="G19" s="78">
        <v>5</v>
      </c>
    </row>
    <row r="20" spans="1:7" ht="36.75" customHeight="1">
      <c r="A20" s="78">
        <v>1</v>
      </c>
      <c r="B20" s="652" t="s">
        <v>361</v>
      </c>
      <c r="C20" s="653"/>
      <c r="D20" s="654"/>
      <c r="E20" s="82">
        <v>8500</v>
      </c>
      <c r="F20" s="79">
        <v>2</v>
      </c>
      <c r="G20" s="83">
        <f>E20*F20</f>
        <v>17000</v>
      </c>
    </row>
    <row r="21" spans="1:7" ht="15">
      <c r="A21" s="78"/>
      <c r="B21" s="655" t="s">
        <v>351</v>
      </c>
      <c r="C21" s="656"/>
      <c r="D21" s="657"/>
      <c r="E21" s="82">
        <f>E20</f>
        <v>8500</v>
      </c>
      <c r="F21" s="79"/>
      <c r="G21" s="83">
        <f>G20</f>
        <v>17000</v>
      </c>
    </row>
    <row r="22" spans="1:7" ht="15">
      <c r="A22" s="84"/>
      <c r="B22" s="75"/>
      <c r="C22" s="75"/>
      <c r="D22" s="75"/>
      <c r="E22" s="85"/>
      <c r="F22" s="86"/>
      <c r="G22" s="87"/>
    </row>
    <row r="23" spans="1:8" ht="14.25">
      <c r="A23" s="612" t="s">
        <v>341</v>
      </c>
      <c r="B23" s="612"/>
      <c r="C23" s="612"/>
      <c r="D23" s="612"/>
      <c r="E23" s="612"/>
      <c r="F23" s="612"/>
      <c r="G23" s="612"/>
      <c r="H23" s="612"/>
    </row>
    <row r="24" spans="1:7" ht="15">
      <c r="A24" s="39" t="s">
        <v>305</v>
      </c>
      <c r="B24" s="39"/>
      <c r="C24" s="40">
        <v>112</v>
      </c>
      <c r="D24" s="75"/>
      <c r="E24" s="85"/>
      <c r="F24" s="86"/>
      <c r="G24" s="87"/>
    </row>
    <row r="25" spans="1:7" ht="39" customHeight="1">
      <c r="A25" s="650" t="s">
        <v>362</v>
      </c>
      <c r="B25" s="650"/>
      <c r="C25" s="650"/>
      <c r="D25" s="650"/>
      <c r="E25" s="650"/>
      <c r="F25" s="650"/>
      <c r="G25" s="650"/>
    </row>
    <row r="26" spans="1:7" ht="60">
      <c r="A26" s="78" t="s">
        <v>308</v>
      </c>
      <c r="B26" s="78" t="s">
        <v>363</v>
      </c>
      <c r="C26" s="78" t="s">
        <v>364</v>
      </c>
      <c r="D26" s="79" t="s">
        <v>365</v>
      </c>
      <c r="E26" s="79" t="s">
        <v>366</v>
      </c>
      <c r="F26" s="78" t="s">
        <v>367</v>
      </c>
      <c r="G26" s="78" t="s">
        <v>368</v>
      </c>
    </row>
    <row r="27" spans="1:7" ht="15">
      <c r="A27" s="78">
        <v>1</v>
      </c>
      <c r="B27" s="78">
        <v>2</v>
      </c>
      <c r="C27" s="78">
        <v>3</v>
      </c>
      <c r="D27" s="79">
        <v>4</v>
      </c>
      <c r="E27" s="79" t="s">
        <v>369</v>
      </c>
      <c r="F27" s="78">
        <v>6</v>
      </c>
      <c r="G27" s="78">
        <v>7</v>
      </c>
    </row>
    <row r="28" spans="1:7" ht="15">
      <c r="A28" s="88">
        <v>1</v>
      </c>
      <c r="B28" s="89" t="s">
        <v>370</v>
      </c>
      <c r="C28" s="78">
        <v>2</v>
      </c>
      <c r="D28" s="79"/>
      <c r="E28" s="79">
        <f aca="true" t="shared" si="0" ref="E28:E33">C28+D28</f>
        <v>2</v>
      </c>
      <c r="F28" s="78">
        <v>33000</v>
      </c>
      <c r="G28" s="90">
        <f aca="true" t="shared" si="1" ref="G28:G33">E28*F28</f>
        <v>66000</v>
      </c>
    </row>
    <row r="29" spans="1:7" ht="15">
      <c r="A29" s="88">
        <v>2</v>
      </c>
      <c r="B29" s="89" t="s">
        <v>371</v>
      </c>
      <c r="C29" s="78">
        <v>1</v>
      </c>
      <c r="D29" s="79">
        <v>0</v>
      </c>
      <c r="E29" s="91">
        <f t="shared" si="0"/>
        <v>1</v>
      </c>
      <c r="F29" s="78">
        <v>41000</v>
      </c>
      <c r="G29" s="90">
        <f t="shared" si="1"/>
        <v>41000</v>
      </c>
    </row>
    <row r="30" spans="1:7" ht="15">
      <c r="A30" s="92">
        <v>3</v>
      </c>
      <c r="B30" s="93" t="s">
        <v>372</v>
      </c>
      <c r="C30" s="78">
        <v>2</v>
      </c>
      <c r="D30" s="91">
        <v>0</v>
      </c>
      <c r="E30" s="91">
        <f t="shared" si="0"/>
        <v>2</v>
      </c>
      <c r="F30" s="94">
        <v>35000</v>
      </c>
      <c r="G30" s="90">
        <f t="shared" si="1"/>
        <v>70000</v>
      </c>
    </row>
    <row r="31" spans="1:8" ht="15">
      <c r="A31" s="92">
        <v>4</v>
      </c>
      <c r="B31" s="93" t="s">
        <v>373</v>
      </c>
      <c r="C31" s="78">
        <v>4</v>
      </c>
      <c r="D31" s="91">
        <v>3</v>
      </c>
      <c r="E31" s="91">
        <f t="shared" si="0"/>
        <v>7</v>
      </c>
      <c r="F31" s="94">
        <v>33000</v>
      </c>
      <c r="G31" s="95">
        <f t="shared" si="1"/>
        <v>231000</v>
      </c>
      <c r="H31" s="96"/>
    </row>
    <row r="32" spans="1:7" ht="15">
      <c r="A32" s="92">
        <v>5</v>
      </c>
      <c r="B32" s="93" t="s">
        <v>374</v>
      </c>
      <c r="C32" s="78">
        <v>2</v>
      </c>
      <c r="D32" s="91"/>
      <c r="E32" s="91">
        <f t="shared" si="0"/>
        <v>2</v>
      </c>
      <c r="F32" s="94">
        <v>36000</v>
      </c>
      <c r="G32" s="90">
        <f t="shared" si="1"/>
        <v>72000</v>
      </c>
    </row>
    <row r="33" spans="1:7" ht="15">
      <c r="A33" s="92">
        <v>6</v>
      </c>
      <c r="B33" s="93" t="s">
        <v>375</v>
      </c>
      <c r="C33" s="78">
        <v>2</v>
      </c>
      <c r="D33" s="91">
        <v>0</v>
      </c>
      <c r="E33" s="91">
        <f t="shared" si="0"/>
        <v>2</v>
      </c>
      <c r="F33" s="94">
        <v>35000</v>
      </c>
      <c r="G33" s="90">
        <f t="shared" si="1"/>
        <v>70000</v>
      </c>
    </row>
    <row r="34" spans="1:7" ht="15">
      <c r="A34" s="97"/>
      <c r="B34" s="54" t="s">
        <v>351</v>
      </c>
      <c r="C34" s="78">
        <f>SUM(C28:C33)</f>
        <v>13</v>
      </c>
      <c r="D34" s="78">
        <f>SUM(D28:D33)</f>
        <v>3</v>
      </c>
      <c r="E34" s="78">
        <f>SUM(E28:E33)</f>
        <v>16</v>
      </c>
      <c r="F34" s="78" t="s">
        <v>34</v>
      </c>
      <c r="G34" s="78">
        <f>SUM(G28:G33)</f>
        <v>550000</v>
      </c>
    </row>
    <row r="35" spans="1:7" ht="45" hidden="1">
      <c r="A35" s="98"/>
      <c r="B35" s="99" t="s">
        <v>384</v>
      </c>
      <c r="C35" s="98"/>
      <c r="D35" s="98"/>
      <c r="E35" s="98"/>
      <c r="F35" s="98"/>
      <c r="G35" s="98"/>
    </row>
    <row r="36" spans="1:7" ht="12.75">
      <c r="A36" s="98"/>
      <c r="B36" s="98"/>
      <c r="C36" s="98"/>
      <c r="D36" s="98"/>
      <c r="E36" s="98"/>
      <c r="F36" s="98"/>
      <c r="G36" s="98"/>
    </row>
    <row r="37" spans="1:7" ht="41.25" customHeight="1" hidden="1">
      <c r="A37" s="658" t="s">
        <v>376</v>
      </c>
      <c r="B37" s="658"/>
      <c r="C37" s="658"/>
      <c r="D37" s="658"/>
      <c r="E37" s="658"/>
      <c r="F37" s="658"/>
      <c r="G37" s="658"/>
    </row>
    <row r="38" spans="1:7" ht="90" hidden="1">
      <c r="A38" s="78" t="s">
        <v>308</v>
      </c>
      <c r="B38" s="651" t="s">
        <v>345</v>
      </c>
      <c r="C38" s="651"/>
      <c r="D38" s="651"/>
      <c r="E38" s="79" t="s">
        <v>358</v>
      </c>
      <c r="F38" s="79" t="s">
        <v>359</v>
      </c>
      <c r="G38" s="78" t="s">
        <v>360</v>
      </c>
    </row>
    <row r="39" spans="1:7" ht="15" hidden="1">
      <c r="A39" s="78">
        <v>1</v>
      </c>
      <c r="B39" s="651">
        <v>2</v>
      </c>
      <c r="C39" s="651"/>
      <c r="D39" s="651"/>
      <c r="E39" s="79">
        <v>3</v>
      </c>
      <c r="F39" s="79">
        <v>4</v>
      </c>
      <c r="G39" s="78">
        <v>5</v>
      </c>
    </row>
    <row r="40" spans="1:7" ht="42" customHeight="1" hidden="1">
      <c r="A40" s="78">
        <v>1</v>
      </c>
      <c r="B40" s="659" t="s">
        <v>377</v>
      </c>
      <c r="C40" s="660"/>
      <c r="D40" s="660"/>
      <c r="E40" s="82">
        <v>0</v>
      </c>
      <c r="F40" s="79">
        <v>0</v>
      </c>
      <c r="G40" s="83">
        <f>F40*E40</f>
        <v>0</v>
      </c>
    </row>
    <row r="41" spans="1:7" ht="15" hidden="1">
      <c r="A41" s="78"/>
      <c r="B41" s="661" t="s">
        <v>351</v>
      </c>
      <c r="C41" s="661"/>
      <c r="D41" s="661"/>
      <c r="E41" s="82">
        <f>E40</f>
        <v>0</v>
      </c>
      <c r="F41" s="79">
        <f>F40</f>
        <v>0</v>
      </c>
      <c r="G41" s="83">
        <f>G40</f>
        <v>0</v>
      </c>
    </row>
    <row r="42" spans="1:7" ht="12.75" hidden="1">
      <c r="A42" s="98"/>
      <c r="B42" s="98"/>
      <c r="C42" s="98"/>
      <c r="D42" s="98"/>
      <c r="E42" s="98"/>
      <c r="F42" s="98"/>
      <c r="G42" s="98"/>
    </row>
    <row r="43" spans="1:7" ht="12.75" hidden="1">
      <c r="A43" s="98"/>
      <c r="B43" s="98"/>
      <c r="C43" s="98"/>
      <c r="D43" s="98"/>
      <c r="E43" s="98"/>
      <c r="F43" s="98"/>
      <c r="G43" s="98"/>
    </row>
    <row r="44" spans="1:7" ht="24.75" customHeight="1" hidden="1">
      <c r="A44" s="662" t="s">
        <v>378</v>
      </c>
      <c r="B44" s="662"/>
      <c r="C44" s="662"/>
      <c r="D44" s="662"/>
      <c r="E44" s="662"/>
      <c r="F44" s="663"/>
      <c r="G44" s="663"/>
    </row>
    <row r="45" spans="1:7" ht="15" hidden="1">
      <c r="A45" s="100" t="s">
        <v>379</v>
      </c>
      <c r="B45" s="53"/>
      <c r="C45" s="53"/>
      <c r="D45" s="53"/>
      <c r="E45" s="53"/>
      <c r="F45" s="53"/>
      <c r="G45" s="53"/>
    </row>
    <row r="46" spans="1:7" ht="15" hidden="1">
      <c r="A46" s="667" t="s">
        <v>306</v>
      </c>
      <c r="B46" s="667"/>
      <c r="C46" s="667"/>
      <c r="D46" s="667"/>
      <c r="E46" s="667"/>
      <c r="F46" s="98"/>
      <c r="G46" s="98"/>
    </row>
    <row r="47" spans="1:7" ht="14.25" hidden="1">
      <c r="A47" s="668" t="s">
        <v>380</v>
      </c>
      <c r="B47" s="668"/>
      <c r="C47" s="668"/>
      <c r="D47" s="668"/>
      <c r="E47" s="668"/>
      <c r="F47" s="669"/>
      <c r="G47" s="669"/>
    </row>
    <row r="48" spans="1:7" ht="14.25" hidden="1">
      <c r="A48" s="668" t="s">
        <v>381</v>
      </c>
      <c r="B48" s="670"/>
      <c r="C48" s="670"/>
      <c r="D48" s="670"/>
      <c r="E48" s="670"/>
      <c r="F48" s="670"/>
      <c r="G48" s="670"/>
    </row>
    <row r="49" spans="1:7" ht="14.25" hidden="1">
      <c r="A49" s="668" t="s">
        <v>382</v>
      </c>
      <c r="B49" s="670"/>
      <c r="C49" s="670"/>
      <c r="D49" s="670"/>
      <c r="E49" s="670"/>
      <c r="F49" s="670"/>
      <c r="G49" s="670"/>
    </row>
    <row r="50" spans="1:7" ht="14.25" hidden="1">
      <c r="A50" s="100"/>
      <c r="B50" s="102"/>
      <c r="C50" s="102"/>
      <c r="D50" s="102"/>
      <c r="E50" s="102"/>
      <c r="F50" s="98"/>
      <c r="G50" s="98"/>
    </row>
    <row r="51" spans="1:7" ht="90" hidden="1">
      <c r="A51" s="41" t="s">
        <v>308</v>
      </c>
      <c r="B51" s="603" t="s">
        <v>345</v>
      </c>
      <c r="C51" s="671"/>
      <c r="D51" s="671"/>
      <c r="E51" s="79" t="s">
        <v>358</v>
      </c>
      <c r="F51" s="79" t="s">
        <v>359</v>
      </c>
      <c r="G51" s="78" t="s">
        <v>360</v>
      </c>
    </row>
    <row r="52" spans="1:7" ht="15" hidden="1">
      <c r="A52" s="43">
        <v>1</v>
      </c>
      <c r="B52" s="608">
        <v>2</v>
      </c>
      <c r="C52" s="670"/>
      <c r="D52" s="670"/>
      <c r="E52" s="43">
        <v>3</v>
      </c>
      <c r="F52" s="43">
        <v>4</v>
      </c>
      <c r="G52" s="43">
        <v>5</v>
      </c>
    </row>
    <row r="53" spans="1:7" ht="51" customHeight="1" hidden="1">
      <c r="A53" s="43">
        <v>1</v>
      </c>
      <c r="B53" s="659" t="s">
        <v>383</v>
      </c>
      <c r="C53" s="660"/>
      <c r="D53" s="660"/>
      <c r="E53" s="47">
        <v>0</v>
      </c>
      <c r="F53" s="103">
        <v>1</v>
      </c>
      <c r="G53" s="47">
        <f>E53*F53</f>
        <v>0</v>
      </c>
    </row>
    <row r="54" spans="1:8" ht="15" hidden="1">
      <c r="A54" s="53"/>
      <c r="B54" s="661" t="s">
        <v>351</v>
      </c>
      <c r="C54" s="666"/>
      <c r="D54" s="666"/>
      <c r="E54" s="47">
        <f>E53</f>
        <v>0</v>
      </c>
      <c r="F54" s="103">
        <f>F53</f>
        <v>1</v>
      </c>
      <c r="G54" s="47">
        <f>G53</f>
        <v>0</v>
      </c>
      <c r="H54" s="104"/>
    </row>
    <row r="55" spans="1:7" ht="12.75" hidden="1">
      <c r="A55" s="98"/>
      <c r="B55" s="98"/>
      <c r="C55" s="98"/>
      <c r="D55" s="98"/>
      <c r="E55" s="98"/>
      <c r="F55" s="98"/>
      <c r="G55" s="98"/>
    </row>
    <row r="56" spans="1:7" ht="12.75" hidden="1">
      <c r="A56" s="98"/>
      <c r="B56" s="98"/>
      <c r="C56" s="98"/>
      <c r="D56" s="98"/>
      <c r="E56" s="98"/>
      <c r="F56" s="98"/>
      <c r="G56" s="98"/>
    </row>
    <row r="57" spans="1:8" ht="12.75" hidden="1">
      <c r="A57" s="98"/>
      <c r="B57" s="105" t="s">
        <v>315</v>
      </c>
      <c r="C57" s="98"/>
      <c r="D57" s="98"/>
      <c r="E57" s="98"/>
      <c r="F57" s="98"/>
      <c r="G57" s="98">
        <f>G35+G34</f>
        <v>550000</v>
      </c>
      <c r="H57" s="51">
        <f>F9+F15+G21+G57+'ПВ ИЦ'!H9</f>
        <v>1234928</v>
      </c>
    </row>
    <row r="58" ht="12.75" hidden="1"/>
    <row r="59" spans="1:8" ht="14.25" hidden="1">
      <c r="A59" s="39" t="s">
        <v>305</v>
      </c>
      <c r="B59" s="39"/>
      <c r="C59" s="252">
        <v>321</v>
      </c>
      <c r="D59" s="39"/>
      <c r="E59" s="39"/>
      <c r="F59" s="39"/>
      <c r="G59" s="39"/>
      <c r="H59" s="39"/>
    </row>
    <row r="60" spans="1:10" ht="27.75" customHeight="1" hidden="1">
      <c r="A60" s="613" t="s">
        <v>342</v>
      </c>
      <c r="B60" s="614"/>
      <c r="C60" s="614"/>
      <c r="D60" s="614"/>
      <c r="E60" s="614"/>
      <c r="F60" s="614"/>
      <c r="G60" s="614"/>
      <c r="H60" s="614"/>
      <c r="I60" s="614"/>
      <c r="J60" s="614"/>
    </row>
    <row r="61" spans="1:6" ht="27" customHeight="1" hidden="1">
      <c r="A61" s="677" t="s">
        <v>551</v>
      </c>
      <c r="B61" s="678"/>
      <c r="C61" s="678"/>
      <c r="D61" s="678"/>
      <c r="E61" s="678"/>
      <c r="F61" s="678"/>
    </row>
    <row r="62" spans="1:6" ht="49.5" customHeight="1" hidden="1">
      <c r="A62" s="648" t="s">
        <v>554</v>
      </c>
      <c r="B62" s="648"/>
      <c r="C62" s="648"/>
      <c r="D62" s="648"/>
      <c r="E62" s="648"/>
      <c r="F62" s="648"/>
    </row>
    <row r="63" spans="1:6" ht="30" hidden="1">
      <c r="A63" s="249" t="s">
        <v>308</v>
      </c>
      <c r="B63" s="249" t="s">
        <v>345</v>
      </c>
      <c r="C63" s="672" t="s">
        <v>347</v>
      </c>
      <c r="D63" s="673"/>
      <c r="E63" s="672" t="s">
        <v>553</v>
      </c>
      <c r="F63" s="673"/>
    </row>
    <row r="64" spans="1:6" ht="15" hidden="1">
      <c r="A64" s="250">
        <v>1</v>
      </c>
      <c r="B64" s="250">
        <v>2</v>
      </c>
      <c r="C64" s="674">
        <v>4</v>
      </c>
      <c r="D64" s="675"/>
      <c r="E64" s="674">
        <v>6</v>
      </c>
      <c r="F64" s="675"/>
    </row>
    <row r="65" spans="1:6" ht="45" hidden="1">
      <c r="A65" s="46">
        <v>1</v>
      </c>
      <c r="B65" s="45" t="s">
        <v>552</v>
      </c>
      <c r="C65" s="664"/>
      <c r="D65" s="665"/>
      <c r="E65" s="676"/>
      <c r="F65" s="665"/>
    </row>
    <row r="66" spans="1:6" ht="15" hidden="1">
      <c r="A66" s="53"/>
      <c r="B66" s="251" t="s">
        <v>351</v>
      </c>
      <c r="C66" s="664">
        <f>C65</f>
        <v>0</v>
      </c>
      <c r="D66" s="665"/>
      <c r="E66" s="676">
        <f>E65</f>
        <v>0</v>
      </c>
      <c r="F66" s="665"/>
    </row>
    <row r="67" spans="1:6" ht="15" hidden="1">
      <c r="A67" s="74"/>
      <c r="B67" s="74"/>
      <c r="C67" s="74"/>
      <c r="D67" s="74"/>
      <c r="E67" s="74"/>
      <c r="F67" s="257">
        <f>E66</f>
        <v>0</v>
      </c>
    </row>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sheetData>
  <sheetProtection/>
  <mergeCells count="36">
    <mergeCell ref="C66:D66"/>
    <mergeCell ref="E63:F63"/>
    <mergeCell ref="E64:F64"/>
    <mergeCell ref="E65:F65"/>
    <mergeCell ref="E66:F66"/>
    <mergeCell ref="A60:J60"/>
    <mergeCell ref="A62:F62"/>
    <mergeCell ref="A61:F61"/>
    <mergeCell ref="C63:D63"/>
    <mergeCell ref="C64:D64"/>
    <mergeCell ref="C65:D65"/>
    <mergeCell ref="B54:D54"/>
    <mergeCell ref="A46:E46"/>
    <mergeCell ref="A47:G47"/>
    <mergeCell ref="A48:G48"/>
    <mergeCell ref="A49:G49"/>
    <mergeCell ref="B51:D51"/>
    <mergeCell ref="B52:D52"/>
    <mergeCell ref="B38:D38"/>
    <mergeCell ref="B39:D39"/>
    <mergeCell ref="B40:D40"/>
    <mergeCell ref="B41:D41"/>
    <mergeCell ref="A44:G44"/>
    <mergeCell ref="B53:D53"/>
    <mergeCell ref="B19:D19"/>
    <mergeCell ref="B20:D20"/>
    <mergeCell ref="B21:D21"/>
    <mergeCell ref="A23:H23"/>
    <mergeCell ref="A25:G25"/>
    <mergeCell ref="A37:G37"/>
    <mergeCell ref="A1:H1"/>
    <mergeCell ref="A3:J3"/>
    <mergeCell ref="A5:F5"/>
    <mergeCell ref="A11:F11"/>
    <mergeCell ref="A17:G17"/>
    <mergeCell ref="B18:D18"/>
  </mergeCells>
  <printOptions/>
  <pageMargins left="1.5748031496062993" right="0" top="0" bottom="0" header="0.31496062992125984"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4">
      <selection activeCell="A13" sqref="A13:F13"/>
    </sheetView>
  </sheetViews>
  <sheetFormatPr defaultColWidth="9.33203125" defaultRowHeight="12.75"/>
  <cols>
    <col min="1" max="1" width="6.5" style="0" customWidth="1"/>
    <col min="2" max="2" width="26.33203125" style="0" customWidth="1"/>
    <col min="3" max="3" width="10.5" style="0" customWidth="1"/>
    <col min="4" max="4" width="9.83203125" style="0" customWidth="1"/>
    <col min="5" max="5" width="14.16015625" style="0" customWidth="1"/>
    <col min="6" max="6" width="16.66015625" style="0" customWidth="1"/>
    <col min="7" max="7" width="13.33203125" style="0" customWidth="1"/>
    <col min="8" max="8" width="15.83203125" style="0" customWidth="1"/>
    <col min="9" max="9" width="9.66015625" style="0" bestFit="1" customWidth="1"/>
  </cols>
  <sheetData>
    <row r="1" spans="1:8" ht="50.25" customHeight="1">
      <c r="A1" s="679" t="s">
        <v>341</v>
      </c>
      <c r="B1" s="679"/>
      <c r="C1" s="679"/>
      <c r="D1" s="679"/>
      <c r="E1" s="679"/>
      <c r="F1" s="679"/>
      <c r="G1" s="679"/>
      <c r="H1" s="679"/>
    </row>
    <row r="2" spans="1:8" ht="21" customHeight="1">
      <c r="A2" s="180" t="s">
        <v>305</v>
      </c>
      <c r="B2" s="180"/>
      <c r="C2" s="181">
        <v>112</v>
      </c>
      <c r="D2" s="180"/>
      <c r="E2" s="180"/>
      <c r="F2" s="180"/>
      <c r="G2" s="180"/>
      <c r="H2" s="180"/>
    </row>
    <row r="3" spans="1:8" ht="48.75" customHeight="1">
      <c r="A3" s="680" t="s">
        <v>521</v>
      </c>
      <c r="B3" s="679"/>
      <c r="C3" s="679"/>
      <c r="D3" s="679"/>
      <c r="E3" s="679"/>
      <c r="F3" s="679"/>
      <c r="G3" s="679"/>
      <c r="H3" s="679"/>
    </row>
    <row r="4" spans="1:8" ht="28.5" customHeight="1">
      <c r="A4" s="681" t="s">
        <v>522</v>
      </c>
      <c r="B4" s="682"/>
      <c r="C4" s="682"/>
      <c r="D4" s="682"/>
      <c r="E4" s="682"/>
      <c r="F4" s="682"/>
      <c r="G4" s="682"/>
      <c r="H4" s="682"/>
    </row>
    <row r="5" spans="1:8" ht="14.25">
      <c r="A5" s="166"/>
      <c r="B5" s="166"/>
      <c r="C5" s="166"/>
      <c r="D5" s="166"/>
      <c r="E5" s="166"/>
      <c r="F5" s="166"/>
      <c r="G5" s="166"/>
      <c r="H5" s="166"/>
    </row>
    <row r="6" spans="1:8" ht="51.75" customHeight="1">
      <c r="A6" s="171" t="s">
        <v>506</v>
      </c>
      <c r="B6" s="683" t="s">
        <v>345</v>
      </c>
      <c r="C6" s="428"/>
      <c r="D6" s="428"/>
      <c r="E6" s="171" t="s">
        <v>523</v>
      </c>
      <c r="F6" s="171" t="s">
        <v>451</v>
      </c>
      <c r="G6" s="171" t="s">
        <v>524</v>
      </c>
      <c r="H6" s="171" t="s">
        <v>525</v>
      </c>
    </row>
    <row r="7" spans="1:8" ht="12.75">
      <c r="A7" s="172">
        <v>1</v>
      </c>
      <c r="B7" s="633">
        <v>2</v>
      </c>
      <c r="C7" s="684"/>
      <c r="D7" s="684"/>
      <c r="E7" s="172">
        <v>3</v>
      </c>
      <c r="F7" s="172">
        <v>4</v>
      </c>
      <c r="G7" s="172">
        <v>5</v>
      </c>
      <c r="H7" s="182">
        <v>6</v>
      </c>
    </row>
    <row r="8" spans="1:9" ht="55.5" customHeight="1">
      <c r="A8" s="173" t="s">
        <v>511</v>
      </c>
      <c r="B8" s="685" t="s">
        <v>526</v>
      </c>
      <c r="C8" s="686"/>
      <c r="D8" s="687"/>
      <c r="E8" s="175">
        <v>10</v>
      </c>
      <c r="F8" s="175">
        <v>12</v>
      </c>
      <c r="G8" s="183">
        <v>5308.33</v>
      </c>
      <c r="H8" s="183">
        <f>E8*F8*G8+0.4</f>
        <v>637000</v>
      </c>
      <c r="I8" s="238">
        <f>608600</f>
        <v>608600</v>
      </c>
    </row>
    <row r="9" spans="1:8" ht="15.75">
      <c r="A9" s="173"/>
      <c r="B9" s="645" t="s">
        <v>407</v>
      </c>
      <c r="C9" s="688"/>
      <c r="D9" s="689"/>
      <c r="E9" s="175">
        <f>E8</f>
        <v>10</v>
      </c>
      <c r="F9" s="175">
        <f>F8</f>
        <v>12</v>
      </c>
      <c r="G9" s="175">
        <f>G8</f>
        <v>5308.33</v>
      </c>
      <c r="H9" s="184">
        <f>H8</f>
        <v>637000</v>
      </c>
    </row>
    <row r="11" spans="1:10" ht="42" customHeight="1">
      <c r="A11" s="39" t="s">
        <v>305</v>
      </c>
      <c r="B11" s="39"/>
      <c r="C11" s="262">
        <v>321</v>
      </c>
      <c r="D11" s="39"/>
      <c r="E11" s="39"/>
      <c r="F11" s="39"/>
      <c r="G11" s="39"/>
      <c r="H11" s="39"/>
      <c r="I11" s="38"/>
      <c r="J11" s="38"/>
    </row>
    <row r="12" spans="1:10" ht="15">
      <c r="A12" s="613" t="s">
        <v>342</v>
      </c>
      <c r="B12" s="614"/>
      <c r="C12" s="614"/>
      <c r="D12" s="614"/>
      <c r="E12" s="614"/>
      <c r="F12" s="614"/>
      <c r="G12" s="614"/>
      <c r="H12" s="614"/>
      <c r="I12" s="614"/>
      <c r="J12" s="614"/>
    </row>
    <row r="13" spans="1:10" ht="34.5" customHeight="1">
      <c r="A13" s="677" t="s">
        <v>561</v>
      </c>
      <c r="B13" s="678"/>
      <c r="C13" s="678"/>
      <c r="D13" s="678"/>
      <c r="E13" s="678"/>
      <c r="F13" s="678"/>
      <c r="G13" s="38"/>
      <c r="H13" s="38"/>
      <c r="I13" s="38"/>
      <c r="J13" s="38"/>
    </row>
    <row r="14" spans="1:10" ht="11.25" customHeight="1">
      <c r="A14" s="648" t="s">
        <v>554</v>
      </c>
      <c r="B14" s="648"/>
      <c r="C14" s="648"/>
      <c r="D14" s="648"/>
      <c r="E14" s="648"/>
      <c r="F14" s="648"/>
      <c r="G14" s="38"/>
      <c r="H14" s="38"/>
      <c r="I14" s="38"/>
      <c r="J14" s="38"/>
    </row>
    <row r="15" spans="1:10" ht="45.75" customHeight="1">
      <c r="A15" s="260" t="s">
        <v>308</v>
      </c>
      <c r="B15" s="260" t="s">
        <v>345</v>
      </c>
      <c r="C15" s="672" t="s">
        <v>347</v>
      </c>
      <c r="D15" s="673"/>
      <c r="E15" s="672" t="s">
        <v>553</v>
      </c>
      <c r="F15" s="673"/>
      <c r="G15" s="38"/>
      <c r="H15" s="38"/>
      <c r="I15" s="38"/>
      <c r="J15" s="38"/>
    </row>
    <row r="16" spans="1:10" ht="15">
      <c r="A16" s="261">
        <v>1</v>
      </c>
      <c r="B16" s="261">
        <v>2</v>
      </c>
      <c r="C16" s="674">
        <v>4</v>
      </c>
      <c r="D16" s="675"/>
      <c r="E16" s="674">
        <v>6</v>
      </c>
      <c r="F16" s="675"/>
      <c r="G16" s="38"/>
      <c r="H16" s="38"/>
      <c r="I16" s="38"/>
      <c r="J16" s="38"/>
    </row>
    <row r="17" spans="1:10" ht="135">
      <c r="A17" s="46">
        <v>1</v>
      </c>
      <c r="B17" s="45" t="s">
        <v>562</v>
      </c>
      <c r="C17" s="664">
        <v>2</v>
      </c>
      <c r="D17" s="665"/>
      <c r="E17" s="676">
        <v>73300</v>
      </c>
      <c r="F17" s="665"/>
      <c r="G17" s="38"/>
      <c r="H17" s="38"/>
      <c r="I17" s="38"/>
      <c r="J17" s="38"/>
    </row>
    <row r="18" spans="1:10" ht="15">
      <c r="A18" s="53"/>
      <c r="B18" s="263" t="s">
        <v>351</v>
      </c>
      <c r="C18" s="664">
        <f>C17</f>
        <v>2</v>
      </c>
      <c r="D18" s="665"/>
      <c r="E18" s="676">
        <f>E17</f>
        <v>73300</v>
      </c>
      <c r="F18" s="665"/>
      <c r="G18" s="38"/>
      <c r="H18" s="38"/>
      <c r="I18" s="38"/>
      <c r="J18" s="38"/>
    </row>
    <row r="19" spans="1:10" ht="30.75" customHeight="1">
      <c r="A19" s="74"/>
      <c r="B19" s="74"/>
      <c r="C19" s="74"/>
      <c r="D19" s="74"/>
      <c r="E19" s="74"/>
      <c r="F19" s="257">
        <f>E18</f>
        <v>73300</v>
      </c>
      <c r="G19" s="38"/>
      <c r="H19" s="38"/>
      <c r="I19" s="38"/>
      <c r="J19" s="38"/>
    </row>
    <row r="20" spans="1:7" ht="15" hidden="1">
      <c r="A20" s="78"/>
      <c r="B20" s="651"/>
      <c r="C20" s="651"/>
      <c r="D20" s="651"/>
      <c r="E20" s="79"/>
      <c r="F20" s="79"/>
      <c r="G20" s="78"/>
    </row>
    <row r="21" spans="1:7" ht="15" hidden="1">
      <c r="A21" s="78"/>
      <c r="B21" s="651"/>
      <c r="C21" s="651"/>
      <c r="D21" s="651"/>
      <c r="E21" s="79"/>
      <c r="F21" s="79"/>
      <c r="G21" s="78"/>
    </row>
    <row r="22" spans="1:7" ht="36.75" customHeight="1" hidden="1">
      <c r="A22" s="185"/>
      <c r="B22" s="702"/>
      <c r="C22" s="703"/>
      <c r="D22" s="704"/>
      <c r="E22" s="186"/>
      <c r="F22" s="187"/>
      <c r="G22" s="188"/>
    </row>
    <row r="23" spans="1:8" ht="15.75" hidden="1">
      <c r="A23" s="185"/>
      <c r="B23" s="705"/>
      <c r="C23" s="706"/>
      <c r="D23" s="707"/>
      <c r="E23" s="186"/>
      <c r="F23" s="187"/>
      <c r="G23" s="188"/>
      <c r="H23" s="176"/>
    </row>
    <row r="24" ht="12.75" hidden="1"/>
    <row r="25" spans="1:7" ht="28.5" customHeight="1" hidden="1">
      <c r="A25" s="708" t="s">
        <v>527</v>
      </c>
      <c r="B25" s="708"/>
      <c r="C25" s="708"/>
      <c r="D25" s="708"/>
      <c r="E25" s="708"/>
      <c r="F25" s="708"/>
      <c r="G25" s="708"/>
    </row>
    <row r="26" spans="1:7" ht="14.25" hidden="1">
      <c r="A26" s="708"/>
      <c r="B26" s="708"/>
      <c r="C26" s="708"/>
      <c r="D26" s="708"/>
      <c r="E26" s="708"/>
      <c r="F26" s="708"/>
      <c r="G26" s="708"/>
    </row>
    <row r="27" spans="1:8" ht="45" hidden="1">
      <c r="A27" s="189" t="s">
        <v>506</v>
      </c>
      <c r="B27" s="709" t="s">
        <v>345</v>
      </c>
      <c r="C27" s="710"/>
      <c r="D27" s="710"/>
      <c r="E27" s="711"/>
      <c r="F27" s="189" t="s">
        <v>528</v>
      </c>
      <c r="G27" s="189" t="s">
        <v>489</v>
      </c>
      <c r="H27" s="189" t="s">
        <v>529</v>
      </c>
    </row>
    <row r="28" spans="1:8" ht="12.75" hidden="1">
      <c r="A28" s="190">
        <v>1</v>
      </c>
      <c r="B28" s="690">
        <v>2</v>
      </c>
      <c r="C28" s="691"/>
      <c r="D28" s="691"/>
      <c r="E28" s="692"/>
      <c r="F28" s="191">
        <v>3</v>
      </c>
      <c r="G28" s="192">
        <v>4</v>
      </c>
      <c r="H28" s="190">
        <v>5</v>
      </c>
    </row>
    <row r="29" spans="1:8" ht="15" hidden="1">
      <c r="A29" s="189">
        <v>1</v>
      </c>
      <c r="B29" s="693" t="s">
        <v>530</v>
      </c>
      <c r="C29" s="694"/>
      <c r="D29" s="694"/>
      <c r="E29" s="695"/>
      <c r="F29" s="189">
        <v>21</v>
      </c>
      <c r="G29" s="189"/>
      <c r="H29" s="189">
        <f>F29*G29</f>
        <v>0</v>
      </c>
    </row>
    <row r="30" spans="1:8" ht="15" hidden="1">
      <c r="A30" s="193"/>
      <c r="B30" s="696"/>
      <c r="C30" s="697"/>
      <c r="D30" s="697"/>
      <c r="E30" s="698"/>
      <c r="F30" s="194"/>
      <c r="G30" s="193"/>
      <c r="H30" s="195"/>
    </row>
    <row r="31" spans="1:8" ht="15" hidden="1">
      <c r="A31" s="196"/>
      <c r="B31" s="699" t="s">
        <v>407</v>
      </c>
      <c r="C31" s="700"/>
      <c r="D31" s="700"/>
      <c r="E31" s="701"/>
      <c r="F31" s="193">
        <v>21</v>
      </c>
      <c r="G31" s="193" t="s">
        <v>34</v>
      </c>
      <c r="H31" s="197">
        <f>H29+H30</f>
        <v>0</v>
      </c>
    </row>
  </sheetData>
  <sheetProtection/>
  <mergeCells count="29">
    <mergeCell ref="B28:E28"/>
    <mergeCell ref="B29:E29"/>
    <mergeCell ref="B30:E30"/>
    <mergeCell ref="B31:E31"/>
    <mergeCell ref="B21:D21"/>
    <mergeCell ref="B22:D22"/>
    <mergeCell ref="B23:D23"/>
    <mergeCell ref="A25:G25"/>
    <mergeCell ref="A26:G26"/>
    <mergeCell ref="B27:E27"/>
    <mergeCell ref="A12:J12"/>
    <mergeCell ref="A13:F13"/>
    <mergeCell ref="A14:F14"/>
    <mergeCell ref="C15:D15"/>
    <mergeCell ref="B20:D20"/>
    <mergeCell ref="E15:F15"/>
    <mergeCell ref="C16:D16"/>
    <mergeCell ref="E16:F16"/>
    <mergeCell ref="C17:D17"/>
    <mergeCell ref="E17:F17"/>
    <mergeCell ref="C18:D18"/>
    <mergeCell ref="E18:F18"/>
    <mergeCell ref="A1:H1"/>
    <mergeCell ref="A3:H3"/>
    <mergeCell ref="A4:H4"/>
    <mergeCell ref="B6:D6"/>
    <mergeCell ref="B7:D7"/>
    <mergeCell ref="B8:D8"/>
    <mergeCell ref="B9:D9"/>
  </mergeCells>
  <printOptions/>
  <pageMargins left="0.7874015748031497" right="0" top="0" bottom="0" header="0.31496062992125984" footer="0"/>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G14" sqref="G14:G22"/>
    </sheetView>
  </sheetViews>
  <sheetFormatPr defaultColWidth="9.33203125" defaultRowHeight="12.75"/>
  <cols>
    <col min="1" max="1" width="9.33203125" style="38" customWidth="1"/>
    <col min="2" max="2" width="16.5" style="38" customWidth="1"/>
    <col min="3" max="3" width="10.33203125" style="38" customWidth="1"/>
    <col min="4" max="4" width="21.16015625" style="38" customWidth="1"/>
    <col min="5" max="5" width="21" style="38" customWidth="1"/>
    <col min="6" max="6" width="20.33203125" style="38" customWidth="1"/>
    <col min="7" max="7" width="18.83203125" style="38" customWidth="1"/>
    <col min="8" max="16384" width="9.33203125" style="38" customWidth="1"/>
  </cols>
  <sheetData>
    <row r="1" spans="1:6" ht="80.25" customHeight="1">
      <c r="A1" s="648" t="s">
        <v>385</v>
      </c>
      <c r="B1" s="648"/>
      <c r="C1" s="648"/>
      <c r="D1" s="648"/>
      <c r="E1" s="648"/>
      <c r="F1" s="648"/>
    </row>
    <row r="2" spans="1:8" ht="19.5" customHeight="1">
      <c r="A2" s="39" t="s">
        <v>305</v>
      </c>
      <c r="B2" s="39"/>
      <c r="C2" s="40">
        <v>119</v>
      </c>
      <c r="D2" s="39"/>
      <c r="E2" s="39"/>
      <c r="F2" s="39"/>
      <c r="G2" s="39"/>
      <c r="H2" s="39"/>
    </row>
    <row r="3" spans="1:10" ht="33.75" customHeight="1">
      <c r="A3" s="613" t="s">
        <v>342</v>
      </c>
      <c r="B3" s="614"/>
      <c r="C3" s="614"/>
      <c r="D3" s="614"/>
      <c r="E3" s="614"/>
      <c r="F3" s="614"/>
      <c r="G3" s="614"/>
      <c r="H3" s="614"/>
      <c r="I3" s="614"/>
      <c r="J3" s="614"/>
    </row>
    <row r="4" ht="23.25" customHeight="1">
      <c r="A4" s="71" t="s">
        <v>343</v>
      </c>
    </row>
    <row r="5" spans="1:6" ht="27.75" customHeight="1">
      <c r="A5" s="43">
        <v>1</v>
      </c>
      <c r="B5" s="712" t="s">
        <v>386</v>
      </c>
      <c r="C5" s="713"/>
      <c r="D5" s="714"/>
      <c r="E5" s="55"/>
      <c r="F5" s="55">
        <f>F6</f>
        <v>4400500.000200001</v>
      </c>
    </row>
    <row r="6" spans="1:6" ht="15">
      <c r="A6" s="106" t="s">
        <v>387</v>
      </c>
      <c r="B6" s="715" t="s">
        <v>388</v>
      </c>
      <c r="C6" s="716"/>
      <c r="D6" s="717"/>
      <c r="E6" s="55">
        <f>14654476-2313576.16+3571854+1816854-369399.23+10726+1055479+1575857.3</f>
        <v>20002270.91</v>
      </c>
      <c r="F6" s="55">
        <f>E6*0.22+0.4</f>
        <v>4400500.000200001</v>
      </c>
    </row>
    <row r="7" spans="1:6" ht="15.75" customHeight="1">
      <c r="A7" s="106" t="s">
        <v>389</v>
      </c>
      <c r="B7" s="712" t="s">
        <v>390</v>
      </c>
      <c r="C7" s="713"/>
      <c r="D7" s="714"/>
      <c r="E7" s="55"/>
      <c r="F7" s="55"/>
    </row>
    <row r="8" spans="1:6" ht="31.5" customHeight="1">
      <c r="A8" s="106" t="s">
        <v>391</v>
      </c>
      <c r="B8" s="607" t="s">
        <v>392</v>
      </c>
      <c r="C8" s="607"/>
      <c r="D8" s="607"/>
      <c r="E8" s="55"/>
      <c r="F8" s="55"/>
    </row>
    <row r="9" spans="1:6" ht="30.75" customHeight="1">
      <c r="A9" s="106" t="s">
        <v>393</v>
      </c>
      <c r="B9" s="712" t="s">
        <v>394</v>
      </c>
      <c r="C9" s="713"/>
      <c r="D9" s="714"/>
      <c r="E9" s="55"/>
      <c r="F9" s="55">
        <f>F10+F12</f>
        <v>620070.3982100001</v>
      </c>
    </row>
    <row r="10" spans="1:6" ht="15">
      <c r="A10" s="106" t="s">
        <v>395</v>
      </c>
      <c r="B10" s="712" t="s">
        <v>396</v>
      </c>
      <c r="C10" s="713"/>
      <c r="D10" s="714"/>
      <c r="E10" s="55">
        <f>14654476-2313576.16+3571854+1816854-369399.23+10726+1055479+1575857.3</f>
        <v>20002270.91</v>
      </c>
      <c r="F10" s="55">
        <f>E10*0.029</f>
        <v>580065.8563900001</v>
      </c>
    </row>
    <row r="11" spans="1:6" ht="35.25" customHeight="1">
      <c r="A11" s="106" t="s">
        <v>397</v>
      </c>
      <c r="B11" s="718" t="s">
        <v>398</v>
      </c>
      <c r="C11" s="718"/>
      <c r="D11" s="718"/>
      <c r="E11" s="55"/>
      <c r="F11" s="55"/>
    </row>
    <row r="12" spans="1:6" ht="27.75" customHeight="1">
      <c r="A12" s="106" t="s">
        <v>399</v>
      </c>
      <c r="B12" s="718" t="s">
        <v>400</v>
      </c>
      <c r="C12" s="718"/>
      <c r="D12" s="718"/>
      <c r="E12" s="55">
        <f>14654476-2313576.16+3571854+1816854-369399.23+10726+1055479+1575857.3</f>
        <v>20002270.91</v>
      </c>
      <c r="F12" s="55">
        <f>E12*0.002</f>
        <v>40004.54182</v>
      </c>
    </row>
    <row r="13" spans="1:6" ht="33" customHeight="1">
      <c r="A13" s="106" t="s">
        <v>401</v>
      </c>
      <c r="B13" s="718" t="s">
        <v>402</v>
      </c>
      <c r="C13" s="718"/>
      <c r="D13" s="718"/>
      <c r="E13" s="55"/>
      <c r="F13" s="55"/>
    </row>
    <row r="14" spans="1:7" ht="30.75" customHeight="1">
      <c r="A14" s="106" t="s">
        <v>403</v>
      </c>
      <c r="B14" s="718" t="s">
        <v>404</v>
      </c>
      <c r="C14" s="718"/>
      <c r="D14" s="718"/>
      <c r="E14" s="55"/>
      <c r="F14" s="55"/>
      <c r="G14" s="44"/>
    </row>
    <row r="15" spans="1:7" ht="27.75" customHeight="1">
      <c r="A15" s="106" t="s">
        <v>405</v>
      </c>
      <c r="B15" s="718" t="s">
        <v>406</v>
      </c>
      <c r="C15" s="718"/>
      <c r="D15" s="718"/>
      <c r="E15" s="55">
        <f>14654476-2313576.16+3571854+1816854-369399.23+10726+1055479+1575857.3</f>
        <v>20002270.91</v>
      </c>
      <c r="F15" s="55">
        <f>E15*0.051+0.01</f>
        <v>1020115.82641</v>
      </c>
      <c r="G15" s="51">
        <f>G16-F18</f>
        <v>-0.004820001311600208</v>
      </c>
    </row>
    <row r="16" spans="1:8" ht="27.75" customHeight="1">
      <c r="A16" s="106"/>
      <c r="B16" s="107"/>
      <c r="C16" s="108"/>
      <c r="D16" s="109" t="s">
        <v>407</v>
      </c>
      <c r="E16" s="55"/>
      <c r="F16" s="55">
        <f>F6+F9+F15</f>
        <v>6040686.224820001</v>
      </c>
      <c r="G16" s="51">
        <f>3455144+3144563</f>
        <v>6599707</v>
      </c>
      <c r="H16" s="52"/>
    </row>
    <row r="17" spans="1:8" ht="27.75" customHeight="1">
      <c r="A17" s="106"/>
      <c r="B17" s="719" t="s">
        <v>410</v>
      </c>
      <c r="C17" s="720"/>
      <c r="D17" s="721"/>
      <c r="E17" s="55"/>
      <c r="F17" s="55">
        <v>559020.78</v>
      </c>
      <c r="G17" s="51">
        <f>2512131+3289673+'НЧ ИЦ'!F19</f>
        <v>5801804</v>
      </c>
      <c r="H17" s="52"/>
    </row>
    <row r="18" spans="1:8" ht="15">
      <c r="A18" s="106"/>
      <c r="B18" s="107"/>
      <c r="C18" s="108"/>
      <c r="D18" s="109" t="s">
        <v>338</v>
      </c>
      <c r="E18" s="55"/>
      <c r="F18" s="55">
        <f>F6+F9+F15+F17</f>
        <v>6599707.004820001</v>
      </c>
      <c r="G18" s="272">
        <f>F18+'НЧ ИЦ'!G16</f>
        <v>6934757.004820001</v>
      </c>
      <c r="H18" s="52"/>
    </row>
    <row r="19" spans="7:8" ht="12.75">
      <c r="G19" s="44"/>
      <c r="H19" s="52"/>
    </row>
    <row r="20" spans="2:8" ht="12.75">
      <c r="B20" s="44">
        <f>2865837</f>
        <v>2865837</v>
      </c>
      <c r="C20" s="44" t="s">
        <v>408</v>
      </c>
      <c r="D20" s="44"/>
      <c r="G20" s="51"/>
      <c r="H20" s="52"/>
    </row>
    <row r="21" spans="2:8" ht="12.75">
      <c r="B21" s="44">
        <v>2159755</v>
      </c>
      <c r="C21" s="44" t="s">
        <v>409</v>
      </c>
      <c r="D21" s="44">
        <v>2234755</v>
      </c>
      <c r="F21" s="104"/>
      <c r="G21" s="44"/>
      <c r="H21" s="52"/>
    </row>
    <row r="22" spans="2:8" ht="12.75">
      <c r="B22" s="44">
        <f>SUM(B20:B21)</f>
        <v>5025592</v>
      </c>
      <c r="C22" s="44"/>
      <c r="D22" s="44">
        <f>2755990+280000</f>
        <v>3035990</v>
      </c>
      <c r="F22" s="104"/>
      <c r="G22" s="44"/>
      <c r="H22" s="52"/>
    </row>
    <row r="23" spans="4:8" ht="12.75">
      <c r="D23" s="44">
        <f>SUM(D21:D22)</f>
        <v>5270745</v>
      </c>
      <c r="G23" s="52"/>
      <c r="H23" s="52"/>
    </row>
  </sheetData>
  <sheetProtection/>
  <mergeCells count="14">
    <mergeCell ref="B15:D15"/>
    <mergeCell ref="B17:D17"/>
    <mergeCell ref="B9:D9"/>
    <mergeCell ref="B10:D10"/>
    <mergeCell ref="B11:D11"/>
    <mergeCell ref="B12:D12"/>
    <mergeCell ref="B13:D13"/>
    <mergeCell ref="B14:D14"/>
    <mergeCell ref="A1:F1"/>
    <mergeCell ref="A3:J3"/>
    <mergeCell ref="B5:D5"/>
    <mergeCell ref="B6:D6"/>
    <mergeCell ref="B7:D7"/>
    <mergeCell ref="B8:D8"/>
  </mergeCells>
  <printOptions/>
  <pageMargins left="0.7" right="0.7" top="0.75" bottom="0.75" header="0.3" footer="0.3"/>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G15" sqref="G15:G20"/>
    </sheetView>
  </sheetViews>
  <sheetFormatPr defaultColWidth="9.33203125" defaultRowHeight="12.75"/>
  <cols>
    <col min="2" max="2" width="16.5" style="0" customWidth="1"/>
    <col min="3" max="3" width="10.33203125" style="0" customWidth="1"/>
    <col min="4" max="4" width="21.16015625" style="0" customWidth="1"/>
    <col min="5" max="5" width="21" style="0" customWidth="1"/>
    <col min="6" max="6" width="20.33203125" style="0" customWidth="1"/>
    <col min="7" max="7" width="18.83203125" style="0" customWidth="1"/>
  </cols>
  <sheetData>
    <row r="1" spans="1:6" ht="80.25" customHeight="1">
      <c r="A1" s="726" t="s">
        <v>545</v>
      </c>
      <c r="B1" s="726"/>
      <c r="C1" s="726"/>
      <c r="D1" s="726"/>
      <c r="E1" s="726"/>
      <c r="F1" s="726"/>
    </row>
    <row r="2" spans="1:8" ht="19.5" customHeight="1">
      <c r="A2" s="180" t="s">
        <v>305</v>
      </c>
      <c r="B2" s="180"/>
      <c r="C2" s="181">
        <v>119</v>
      </c>
      <c r="D2" s="180"/>
      <c r="E2" s="180"/>
      <c r="F2" s="180"/>
      <c r="G2" s="180"/>
      <c r="H2" s="180"/>
    </row>
    <row r="3" spans="1:10" ht="33.75" customHeight="1">
      <c r="A3" s="680" t="s">
        <v>521</v>
      </c>
      <c r="B3" s="679"/>
      <c r="C3" s="679"/>
      <c r="D3" s="679"/>
      <c r="E3" s="679"/>
      <c r="F3" s="679"/>
      <c r="G3" s="679"/>
      <c r="H3" s="679"/>
      <c r="I3" s="679"/>
      <c r="J3" s="679"/>
    </row>
    <row r="4" ht="23.25" customHeight="1" hidden="1">
      <c r="A4" s="225"/>
    </row>
    <row r="5" spans="1:6" ht="27.75" customHeight="1">
      <c r="A5" s="226">
        <v>1</v>
      </c>
      <c r="B5" s="723" t="s">
        <v>386</v>
      </c>
      <c r="C5" s="724"/>
      <c r="D5" s="725"/>
      <c r="E5" s="227"/>
      <c r="F5" s="227">
        <f>F6</f>
        <v>300423.1126</v>
      </c>
    </row>
    <row r="6" spans="1:6" ht="15">
      <c r="A6" s="228" t="s">
        <v>387</v>
      </c>
      <c r="B6" s="727" t="s">
        <v>388</v>
      </c>
      <c r="C6" s="728"/>
      <c r="D6" s="729"/>
      <c r="E6" s="227">
        <f>1109446+256125.83</f>
        <v>1365571.83</v>
      </c>
      <c r="F6" s="227">
        <f>E6*0.22-2.69</f>
        <v>300423.1126</v>
      </c>
    </row>
    <row r="7" spans="1:6" ht="15.75" customHeight="1">
      <c r="A7" s="228" t="s">
        <v>389</v>
      </c>
      <c r="B7" s="723" t="s">
        <v>390</v>
      </c>
      <c r="C7" s="724"/>
      <c r="D7" s="725"/>
      <c r="E7" s="227"/>
      <c r="F7" s="227"/>
    </row>
    <row r="8" spans="1:6" ht="31.5" customHeight="1">
      <c r="A8" s="228" t="s">
        <v>391</v>
      </c>
      <c r="B8" s="730" t="s">
        <v>392</v>
      </c>
      <c r="C8" s="730"/>
      <c r="D8" s="730"/>
      <c r="E8" s="227"/>
      <c r="F8" s="227"/>
    </row>
    <row r="9" spans="1:6" ht="30.75" customHeight="1">
      <c r="A9" s="228" t="s">
        <v>393</v>
      </c>
      <c r="B9" s="723" t="s">
        <v>394</v>
      </c>
      <c r="C9" s="724"/>
      <c r="D9" s="725"/>
      <c r="E9" s="227"/>
      <c r="F9" s="227">
        <f>F11+F12</f>
        <v>42332.727530000004</v>
      </c>
    </row>
    <row r="10" spans="1:6" ht="15">
      <c r="A10" s="228" t="s">
        <v>395</v>
      </c>
      <c r="B10" s="723" t="s">
        <v>396</v>
      </c>
      <c r="C10" s="724"/>
      <c r="D10" s="725"/>
      <c r="E10" s="227"/>
      <c r="F10" s="227"/>
    </row>
    <row r="11" spans="1:6" ht="30" customHeight="1">
      <c r="A11" s="228" t="s">
        <v>397</v>
      </c>
      <c r="B11" s="722" t="s">
        <v>546</v>
      </c>
      <c r="C11" s="722"/>
      <c r="D11" s="722"/>
      <c r="E11" s="227">
        <f>1109446+256125.83</f>
        <v>1365571.83</v>
      </c>
      <c r="F11" s="227">
        <f>E11*0.029</f>
        <v>39601.58307</v>
      </c>
    </row>
    <row r="12" spans="1:6" ht="47.25" customHeight="1">
      <c r="A12" s="228" t="s">
        <v>399</v>
      </c>
      <c r="B12" s="722" t="s">
        <v>400</v>
      </c>
      <c r="C12" s="722"/>
      <c r="D12" s="722"/>
      <c r="E12" s="227">
        <f>963576.15+24503-91142.38+45983.44+8.64+2235.43+250125.82+24089.4+29774.83-7860.93-131847+256125.83</f>
        <v>1365572.2300000002</v>
      </c>
      <c r="F12" s="227">
        <f>E12*0.002</f>
        <v>2731.1444600000004</v>
      </c>
    </row>
    <row r="13" spans="1:6" ht="33" customHeight="1">
      <c r="A13" s="228" t="s">
        <v>401</v>
      </c>
      <c r="B13" s="722" t="s">
        <v>402</v>
      </c>
      <c r="C13" s="722"/>
      <c r="D13" s="722"/>
      <c r="E13" s="227"/>
      <c r="F13" s="227"/>
    </row>
    <row r="14" spans="1:7" ht="30.75" customHeight="1">
      <c r="A14" s="228" t="s">
        <v>403</v>
      </c>
      <c r="B14" s="722" t="s">
        <v>404</v>
      </c>
      <c r="C14" s="722"/>
      <c r="D14" s="722"/>
      <c r="E14" s="227"/>
      <c r="F14" s="227"/>
      <c r="G14" s="5"/>
    </row>
    <row r="15" spans="1:7" ht="27.75" customHeight="1">
      <c r="A15" s="228" t="s">
        <v>405</v>
      </c>
      <c r="B15" s="722" t="s">
        <v>406</v>
      </c>
      <c r="C15" s="722"/>
      <c r="D15" s="722"/>
      <c r="E15" s="227">
        <f>1109446+256125.83</f>
        <v>1365571.83</v>
      </c>
      <c r="F15" s="227">
        <f>E15*0.051</f>
        <v>69644.16333</v>
      </c>
      <c r="G15" s="273"/>
    </row>
    <row r="16" spans="1:7" ht="15">
      <c r="A16" s="228"/>
      <c r="B16" s="229"/>
      <c r="C16" s="230"/>
      <c r="D16" s="231" t="s">
        <v>338</v>
      </c>
      <c r="E16" s="227"/>
      <c r="F16" s="227">
        <f>F5+F9+F15</f>
        <v>412400.00346000004</v>
      </c>
      <c r="G16" s="273">
        <v>335050</v>
      </c>
    </row>
    <row r="17" ht="12.75">
      <c r="G17" s="274">
        <f>F16-G16</f>
        <v>77350.00346000004</v>
      </c>
    </row>
    <row r="18" spans="2:7" ht="12.75">
      <c r="B18" s="232">
        <f>18500+97000</f>
        <v>115500</v>
      </c>
      <c r="C18" s="232" t="s">
        <v>408</v>
      </c>
      <c r="F18" s="233"/>
      <c r="G18" s="232"/>
    </row>
    <row r="19" spans="2:7" ht="12.75">
      <c r="B19" s="232">
        <f>19000</f>
        <v>19000</v>
      </c>
      <c r="C19" s="232" t="s">
        <v>409</v>
      </c>
      <c r="F19" s="234"/>
      <c r="G19" s="232"/>
    </row>
    <row r="20" spans="2:7" ht="12.75">
      <c r="B20" s="232"/>
      <c r="C20" s="232"/>
      <c r="F20" s="233"/>
      <c r="G20" s="232"/>
    </row>
    <row r="21" spans="2:7" ht="12.75">
      <c r="B21" s="232">
        <v>111252</v>
      </c>
      <c r="C21" s="232" t="s">
        <v>547</v>
      </c>
      <c r="D21" s="233"/>
      <c r="G21" s="5"/>
    </row>
    <row r="22" spans="2:3" ht="12.75">
      <c r="B22" s="232"/>
      <c r="C22" s="232"/>
    </row>
    <row r="23" spans="2:3" ht="12.75">
      <c r="B23" s="232">
        <f>SUM(B18:B22)</f>
        <v>245752</v>
      </c>
      <c r="C23" s="232"/>
    </row>
    <row r="24" spans="2:3" ht="12.75">
      <c r="B24" s="232"/>
      <c r="C24" s="232"/>
    </row>
  </sheetData>
  <sheetProtection/>
  <mergeCells count="13">
    <mergeCell ref="A1:F1"/>
    <mergeCell ref="A3:J3"/>
    <mergeCell ref="B5:D5"/>
    <mergeCell ref="B6:D6"/>
    <mergeCell ref="B7:D7"/>
    <mergeCell ref="B8:D8"/>
    <mergeCell ref="B15:D15"/>
    <mergeCell ref="B9:D9"/>
    <mergeCell ref="B10:D10"/>
    <mergeCell ref="B11:D11"/>
    <mergeCell ref="B12:D12"/>
    <mergeCell ref="B13:D13"/>
    <mergeCell ref="B14:D14"/>
  </mergeCells>
  <printOptions/>
  <pageMargins left="0.7" right="0.7" top="0.75" bottom="0.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G17" sqref="G17"/>
    </sheetView>
  </sheetViews>
  <sheetFormatPr defaultColWidth="9.33203125" defaultRowHeight="12.75"/>
  <cols>
    <col min="1" max="3" width="9.33203125" style="38" customWidth="1"/>
    <col min="4" max="4" width="19.33203125" style="38" customWidth="1"/>
    <col min="5" max="5" width="13.66015625" style="38" customWidth="1"/>
    <col min="6" max="6" width="9.33203125" style="38" customWidth="1"/>
    <col min="7" max="7" width="17.83203125" style="38" customWidth="1"/>
    <col min="8" max="8" width="14.83203125" style="38" customWidth="1"/>
    <col min="9" max="9" width="10.16015625" style="38" bestFit="1" customWidth="1"/>
    <col min="10" max="16384" width="9.33203125" style="38" customWidth="1"/>
  </cols>
  <sheetData>
    <row r="1" spans="1:7" ht="29.25" customHeight="1">
      <c r="A1" s="650" t="s">
        <v>411</v>
      </c>
      <c r="B1" s="650"/>
      <c r="C1" s="650"/>
      <c r="D1" s="650"/>
      <c r="E1" s="650"/>
      <c r="F1" s="740"/>
      <c r="G1" s="740"/>
    </row>
    <row r="2" spans="1:7" ht="15" customHeight="1">
      <c r="A2" s="110"/>
      <c r="B2" s="74"/>
      <c r="C2" s="74"/>
      <c r="D2" s="74"/>
      <c r="E2" s="74"/>
      <c r="F2" s="74"/>
      <c r="G2" s="74"/>
    </row>
    <row r="3" spans="1:5" ht="63.75" customHeight="1">
      <c r="A3" s="741" t="s">
        <v>306</v>
      </c>
      <c r="B3" s="741"/>
      <c r="C3" s="741"/>
      <c r="D3" s="741"/>
      <c r="E3" s="741"/>
    </row>
    <row r="4" spans="1:7" ht="27.75" customHeight="1">
      <c r="A4" s="650" t="s">
        <v>412</v>
      </c>
      <c r="B4" s="650"/>
      <c r="C4" s="650"/>
      <c r="D4" s="650"/>
      <c r="E4" s="650"/>
      <c r="F4" s="740"/>
      <c r="G4" s="740"/>
    </row>
    <row r="5" spans="1:5" ht="15" customHeight="1">
      <c r="A5" s="110" t="s">
        <v>413</v>
      </c>
      <c r="B5" s="111"/>
      <c r="C5" s="112"/>
      <c r="D5" s="111"/>
      <c r="E5" s="111"/>
    </row>
    <row r="6" spans="1:7" ht="90">
      <c r="A6" s="41" t="s">
        <v>308</v>
      </c>
      <c r="B6" s="672" t="s">
        <v>345</v>
      </c>
      <c r="C6" s="731"/>
      <c r="D6" s="732"/>
      <c r="E6" s="41" t="s">
        <v>414</v>
      </c>
      <c r="F6" s="41" t="s">
        <v>415</v>
      </c>
      <c r="G6" s="41" t="s">
        <v>416</v>
      </c>
    </row>
    <row r="7" spans="1:7" ht="15">
      <c r="A7" s="43">
        <v>1</v>
      </c>
      <c r="B7" s="674">
        <v>2</v>
      </c>
      <c r="C7" s="733"/>
      <c r="D7" s="734"/>
      <c r="E7" s="43">
        <v>3</v>
      </c>
      <c r="F7" s="43">
        <v>4</v>
      </c>
      <c r="G7" s="43">
        <v>5</v>
      </c>
    </row>
    <row r="8" spans="1:7" ht="21" customHeight="1">
      <c r="A8" s="43">
        <v>1</v>
      </c>
      <c r="B8" s="113" t="s">
        <v>417</v>
      </c>
      <c r="C8" s="114"/>
      <c r="D8" s="115"/>
      <c r="E8" s="47">
        <v>9500000</v>
      </c>
      <c r="F8" s="47">
        <v>2.2</v>
      </c>
      <c r="G8" s="47">
        <f>F8*E8/100</f>
        <v>209000</v>
      </c>
    </row>
    <row r="9" spans="1:7" ht="15">
      <c r="A9" s="53"/>
      <c r="B9" s="655" t="s">
        <v>351</v>
      </c>
      <c r="C9" s="738"/>
      <c r="D9" s="739"/>
      <c r="E9" s="47">
        <f>E8</f>
        <v>9500000</v>
      </c>
      <c r="F9" s="47" t="s">
        <v>34</v>
      </c>
      <c r="G9" s="47">
        <f>G8</f>
        <v>209000</v>
      </c>
    </row>
    <row r="10" spans="1:5" ht="15">
      <c r="A10" s="74"/>
      <c r="B10" s="74"/>
      <c r="C10" s="74"/>
      <c r="D10" s="74"/>
      <c r="E10" s="74"/>
    </row>
    <row r="12" spans="1:5" ht="14.25">
      <c r="A12" s="116" t="s">
        <v>418</v>
      </c>
      <c r="B12" s="116"/>
      <c r="C12" s="116"/>
      <c r="D12" s="116"/>
      <c r="E12" s="116"/>
    </row>
    <row r="13" spans="1:5" ht="14.25">
      <c r="A13" s="110" t="s">
        <v>419</v>
      </c>
      <c r="B13" s="111"/>
      <c r="C13" s="111"/>
      <c r="D13" s="111"/>
      <c r="E13" s="111" t="s">
        <v>421</v>
      </c>
    </row>
    <row r="14" spans="1:7" ht="90">
      <c r="A14" s="41" t="s">
        <v>308</v>
      </c>
      <c r="B14" s="672" t="s">
        <v>345</v>
      </c>
      <c r="C14" s="731"/>
      <c r="D14" s="732"/>
      <c r="E14" s="41" t="s">
        <v>414</v>
      </c>
      <c r="F14" s="41" t="s">
        <v>415</v>
      </c>
      <c r="G14" s="41" t="s">
        <v>416</v>
      </c>
    </row>
    <row r="15" spans="1:7" ht="15">
      <c r="A15" s="43">
        <v>1</v>
      </c>
      <c r="B15" s="674">
        <v>2</v>
      </c>
      <c r="C15" s="733"/>
      <c r="D15" s="734"/>
      <c r="E15" s="43">
        <v>3</v>
      </c>
      <c r="F15" s="43">
        <v>4</v>
      </c>
      <c r="G15" s="43">
        <v>5</v>
      </c>
    </row>
    <row r="16" spans="1:7" ht="31.5" customHeight="1">
      <c r="A16" s="46">
        <v>1</v>
      </c>
      <c r="B16" s="735" t="s">
        <v>420</v>
      </c>
      <c r="C16" s="736"/>
      <c r="D16" s="737"/>
      <c r="E16" s="72">
        <v>1000000</v>
      </c>
      <c r="F16" s="72">
        <v>2.5</v>
      </c>
      <c r="G16" s="72">
        <f>E16*F16/100</f>
        <v>25000</v>
      </c>
    </row>
    <row r="17" spans="1:9" ht="15">
      <c r="A17" s="53"/>
      <c r="B17" s="655" t="s">
        <v>351</v>
      </c>
      <c r="C17" s="738"/>
      <c r="D17" s="739"/>
      <c r="E17" s="72">
        <f>E16</f>
        <v>1000000</v>
      </c>
      <c r="F17" s="72" t="s">
        <v>34</v>
      </c>
      <c r="G17" s="72">
        <f>G16</f>
        <v>25000</v>
      </c>
      <c r="H17" s="117">
        <f>G9+G17</f>
        <v>234000</v>
      </c>
      <c r="I17" s="104"/>
    </row>
    <row r="19" ht="12.75">
      <c r="G19" s="104"/>
    </row>
  </sheetData>
  <sheetProtection/>
  <mergeCells count="10">
    <mergeCell ref="B14:D14"/>
    <mergeCell ref="B15:D15"/>
    <mergeCell ref="B16:D16"/>
    <mergeCell ref="B17:D17"/>
    <mergeCell ref="A1:G1"/>
    <mergeCell ref="A3:E3"/>
    <mergeCell ref="A4:G4"/>
    <mergeCell ref="B6:D6"/>
    <mergeCell ref="B7:D7"/>
    <mergeCell ref="B9:D9"/>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Buhgalter</cp:lastModifiedBy>
  <cp:lastPrinted>2023-05-19T08:38:56Z</cp:lastPrinted>
  <dcterms:created xsi:type="dcterms:W3CDTF">2018-10-25T15:48:16Z</dcterms:created>
  <dcterms:modified xsi:type="dcterms:W3CDTF">2023-05-19T08:43:22Z</dcterms:modified>
  <cp:category/>
  <cp:version/>
  <cp:contentType/>
  <cp:contentStatus/>
</cp:coreProperties>
</file>