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14355" windowHeight="6825" activeTab="13"/>
  </bookViews>
  <sheets>
    <sheet name="Раздел1" sheetId="1" r:id="rId1"/>
    <sheet name="Раздел2" sheetId="2" r:id="rId2"/>
    <sheet name="ЗП МЗ" sheetId="3" r:id="rId3"/>
    <sheet name="ЗП ИЦ" sheetId="4" r:id="rId4"/>
    <sheet name="ПВ МЗ" sheetId="5" r:id="rId5"/>
    <sheet name="ПВ ИЦ" sheetId="6" r:id="rId6"/>
    <sheet name="НЧ МЗ" sheetId="7" r:id="rId7"/>
    <sheet name="НЧ ИЦ" sheetId="8" r:id="rId8"/>
    <sheet name="290 МЗ" sheetId="9" r:id="rId9"/>
    <sheet name="244,247 МЗ" sheetId="10" r:id="rId10"/>
    <sheet name="244 МЗ (2)" sheetId="11" r:id="rId11"/>
    <sheet name="244 МЗ (3)" sheetId="12" r:id="rId12"/>
    <sheet name="244 ИЦ" sheetId="13" r:id="rId13"/>
    <sheet name="кредиторка" sheetId="14" r:id="rId14"/>
  </sheets>
  <externalReferences>
    <externalReference r:id="rId17"/>
  </externalReferences>
  <definedNames>
    <definedName name="_xlnm.Print_Titles" localSheetId="0">'Раздел1'!$20:$23</definedName>
    <definedName name="_xlnm.Print_Titles" localSheetId="1">'Раздел2'!$3:$6</definedName>
    <definedName name="_xlnm.Print_Area" localSheetId="12">'244 ИЦ'!$A$1:$I$64</definedName>
    <definedName name="_xlnm.Print_Area" localSheetId="10">'244 МЗ (2)'!$A$1:$H$50</definedName>
    <definedName name="_xlnm.Print_Area" localSheetId="9">'244,247 МЗ'!$A$1:$G$61</definedName>
    <definedName name="_xlnm.Print_Area" localSheetId="13">'кредиторка'!$A$1:$I$43</definedName>
    <definedName name="_xlnm.Print_Area" localSheetId="7">'НЧ ИЦ'!$A$1:$G$24</definedName>
    <definedName name="_xlnm.Print_Area" localSheetId="6">'НЧ МЗ'!$A$1:$G$23</definedName>
    <definedName name="_xlnm.Print_Area" localSheetId="5">'ПВ ИЦ'!$A$1:$H$31</definedName>
    <definedName name="_xlnm.Print_Area" localSheetId="4">'ПВ МЗ'!$A$1:$G$57</definedName>
    <definedName name="_xlnm.Print_Area" localSheetId="1">'Раздел2'!$A$1:$BY$57</definedName>
  </definedNames>
  <calcPr fullCalcOnLoad="1"/>
</workbook>
</file>

<file path=xl/sharedStrings.xml><?xml version="1.0" encoding="utf-8"?>
<sst xmlns="http://schemas.openxmlformats.org/spreadsheetml/2006/main" count="969" uniqueCount="568">
  <si>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</si>
  <si>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</si>
  <si>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</si>
  <si>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</si>
  <si>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</si>
  <si>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</si>
  <si>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</si>
  <si>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</si>
  <si>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</si>
  <si>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</si>
  <si>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</si>
  <si>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</si>
  <si>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</si>
  <si>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</si>
  <si>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</si>
  <si>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</si>
  <si>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</si>
  <si>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</si>
  <si>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</si>
  <si>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</si>
  <si>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</si>
  <si>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</si>
  <si>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</si>
  <si>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</si>
  <si>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</si>
  <si>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</si>
  <si>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</si>
  <si>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</si>
  <si>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</si>
  <si>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</si>
  <si>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</si>
  <si>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</si>
  <si>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</si>
  <si>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</si>
  <si>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</si>
  <si>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</si>
  <si>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</si>
  <si>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</si>
  <si>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</si>
  <si>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</si>
  <si>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</si>
  <si>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</si>
  <si>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</si>
  <si>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</si>
  <si>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</si>
  <si>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</si>
  <si>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</si>
  <si>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</si>
  <si>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</si>
  <si>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</si>
  <si>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</si>
  <si>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</si>
  <si>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</si>
  <si>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</si>
  <si>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</si>
  <si>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</si>
  <si>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</si>
  <si>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</si>
  <si>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</si>
  <si>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</si>
  <si>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</si>
  <si>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</si>
  <si>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</si>
  <si>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</si>
  <si>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</si>
  <si>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</si>
  <si>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</si>
  <si>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</si>
  <si>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</si>
  <si>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</si>
  <si>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</si>
  <si>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</si>
  <si>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</si>
  <si>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</si>
  <si>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</si>
  <si>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</si>
  <si>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</si>
  <si>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</si>
  <si>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</si>
  <si>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</si>
  <si>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</si>
  <si>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</si>
  <si>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</si>
  <si>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</si>
  <si>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</si>
  <si>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</si>
  <si>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</si>
  <si>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</si>
  <si>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</si>
  <si>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</si>
  <si>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</si>
  <si>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</si>
  <si>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иные выплаты военнослужащим и сотрудникам, имеющим специальные звания</t>
  </si>
  <si>
    <t>в том числе:
на оплату труда стажеров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</si>
  <si>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</si>
  <si>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</si>
  <si>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</si>
  <si>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</si>
  <si>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</si>
  <si>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</si>
  <si>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</si>
  <si>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</si>
  <si>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</si>
  <si>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</si>
  <si>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</si>
  <si>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</si>
  <si>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</si>
  <si>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</si>
  <si>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</si>
  <si>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</si>
  <si>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</si>
  <si>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</si>
  <si>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</si>
  <si>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</si>
  <si>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</si>
  <si>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</si>
  <si>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</si>
  <si>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</si>
  <si>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</si>
  <si>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</si>
  <si>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</si>
  <si>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</si>
  <si>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</si>
  <si>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</si>
  <si>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</si>
  <si>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</si>
  <si>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</si>
  <si>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</si>
  <si>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</si>
  <si>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</si>
  <si>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</si>
  <si>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</si>
  <si>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</si>
  <si>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</si>
  <si>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</si>
  <si>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</si>
  <si>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</si>
  <si>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</si>
  <si>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</si>
  <si>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</si>
  <si>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</si>
  <si>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</si>
  <si>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</si>
  <si>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</si>
  <si>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</si>
  <si>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</si>
  <si>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>2650</t>
  </si>
  <si>
    <t>3000</t>
  </si>
  <si>
    <t>100</t>
  </si>
  <si>
    <t>400</t>
  </si>
  <si>
    <t>406</t>
  </si>
  <si>
    <t>407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</si>
  <si>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</si>
  <si>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</si>
  <si>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</si>
  <si>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</si>
  <si>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</si>
  <si>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</si>
  <si>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</si>
  <si>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</si>
  <si>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</si>
  <si>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</si>
  <si>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</si>
  <si>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</si>
  <si>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</si>
  <si>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</si>
  <si>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</si>
  <si>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</si>
  <si>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</si>
  <si>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</si>
  <si>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</si>
  <si>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</si>
  <si>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</si>
  <si>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</si>
  <si>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</si>
  <si>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</si>
  <si>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</si>
  <si>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</si>
  <si>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</si>
  <si>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</si>
  <si>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</si>
  <si>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</si>
  <si>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</si>
  <si>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</si>
  <si>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</si>
  <si>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</si>
  <si>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</si>
  <si>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</si>
  <si>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</si>
  <si>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</si>
  <si>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</si>
  <si>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</si>
  <si>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</si>
  <si>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</si>
  <si>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</si>
  <si>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</si>
  <si>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</si>
  <si>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</si>
  <si>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</si>
  <si>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</si>
  <si>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</si>
  <si>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</si>
  <si>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</si>
  <si>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</si>
  <si>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</si>
  <si>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</si>
  <si>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</si>
  <si>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</si>
  <si>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</si>
  <si>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</si>
  <si>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целевые субсидии</t>
  </si>
  <si>
    <t>1410</t>
  </si>
  <si>
    <t>субсидии на осуществление капитальных вложений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</si>
  <si>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</si>
  <si>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</si>
  <si>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</si>
  <si>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</si>
  <si>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</si>
  <si>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</si>
  <si>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</si>
  <si>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</si>
  <si>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2440</t>
  </si>
  <si>
    <t>2450</t>
  </si>
  <si>
    <t>2460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</si>
  <si>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</si>
  <si>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</si>
  <si>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</si>
  <si>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</si>
  <si>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</si>
  <si>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</si>
  <si>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</si>
  <si>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</si>
  <si>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</si>
  <si>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</si>
  <si>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>26421.1</t>
  </si>
  <si>
    <t>26430.1</t>
  </si>
  <si>
    <t>26451.1</t>
  </si>
  <si>
    <t>в том числе:
в соответствии с Федеральным законом N 44-ФЗ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</si>
  <si>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</si>
  <si>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</si>
  <si>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</si>
  <si>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2660</t>
  </si>
  <si>
    <t>247</t>
  </si>
  <si>
    <t>закупку энергетических ресурсов</t>
  </si>
  <si>
    <t>закупку товаров, работ, услуг в целях создания, развития,
эксплуатации и вывода из эксплуатации государственных
информационных систем</t>
  </si>
  <si>
    <t>2700</t>
  </si>
  <si>
    <t>капитальные вложения в объекты государственной (муниципальной)
собственности, всего</t>
  </si>
  <si>
    <t>2710</t>
  </si>
  <si>
    <t>2720</t>
  </si>
  <si>
    <t>строительство (реконструкция) объектов недвижимого имущества
государственными (муниципальными) учреждениями</t>
  </si>
  <si>
    <t>4.2</t>
  </si>
  <si>
    <r>
      <t>Код по бюджетной классификации Российской Федерации</t>
    </r>
    <r>
      <rPr>
        <vertAlign val="superscript"/>
        <sz val="8.5"/>
        <rFont val="Times New Roman"/>
        <family val="1"/>
      </rPr>
      <t>10.1</t>
    </r>
  </si>
  <si>
    <r>
      <t>Уникальный код</t>
    </r>
    <r>
      <rPr>
        <vertAlign val="superscript"/>
        <sz val="8.5"/>
        <rFont val="Times New Roman"/>
        <family val="1"/>
      </rPr>
      <t>10.2</t>
    </r>
  </si>
  <si>
    <r>
      <t>Выплаты на закупку товаров, работ, услуг, всего</t>
    </r>
    <r>
      <rPr>
        <b/>
        <vertAlign val="superscript"/>
        <sz val="8.5"/>
        <rFont val="Times New Roman"/>
        <family val="1"/>
      </rPr>
      <t>11</t>
    </r>
  </si>
  <si>
    <r>
      <t>из них</t>
    </r>
    <r>
      <rPr>
        <vertAlign val="superscript"/>
        <sz val="8.5"/>
        <rFont val="Times New Roman"/>
        <family val="1"/>
      </rPr>
      <t>10.1</t>
    </r>
    <r>
      <rPr>
        <sz val="8.5"/>
        <rFont val="Times New Roman"/>
        <family val="1"/>
      </rPr>
      <t>:</t>
    </r>
  </si>
  <si>
    <r>
      <t>в соответствии с Федеральным законом N 223-ФЗ</t>
    </r>
    <r>
      <rPr>
        <vertAlign val="superscript"/>
        <sz val="8.5"/>
        <rFont val="Times New Roman"/>
        <family val="1"/>
      </rPr>
      <t>14</t>
    </r>
  </si>
  <si>
    <r>
      <t>из них</t>
    </r>
    <r>
      <rPr>
        <vertAlign val="superscript"/>
        <sz val="8.5"/>
        <rFont val="Times New Roman"/>
        <family val="1"/>
      </rPr>
      <t>10.1</t>
    </r>
    <r>
      <rPr>
        <sz val="8.5"/>
        <rFont val="Times New Roman"/>
        <family val="1"/>
      </rPr>
      <t xml:space="preserve">:
</t>
    </r>
  </si>
  <si>
    <r>
      <t>за счет субсидий, предоставляемых на осуществление капитальных вложений</t>
    </r>
    <r>
      <rPr>
        <vertAlign val="superscript"/>
        <sz val="8.5"/>
        <rFont val="Times New Roman"/>
        <family val="1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</si>
  <si>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8.5"/>
        <rFont val="Times New Roman"/>
        <family val="1"/>
      </rPr>
      <t>16</t>
    </r>
  </si>
  <si>
    <r>
      <t>в том числе:
по контрактам (договорам), заключенным до начала
текущего финансового года без применения норм
Федерального закона от 5 апреля 2013 г. N 44-ФЗ
"О контрактной системе в сфере закупок товаров,
работ, услуг для обеспечения государственных
и муниципальных нужд" (Собрание законодательства
Российской Федерации, 2013, N 14, ст.1652; 2018,
N 32, ст.5104) (далее - Федеральный закон N 44-ФЗ)
и Федерального закона от 18 июля 2011 г. N 223-ФЗ
"О закупках товаров, работ, услуг отдельными видами
юридических лиц" (Собрание законодательства
Российской Федерации, 2011, N 30, ст.4571; 2018,
N 32, ст.5135) (далее - Федеральный закон N 223-ФЗ)</t>
    </r>
    <r>
      <rPr>
        <vertAlign val="superscript"/>
        <sz val="8.5"/>
        <rFont val="Times New Roman"/>
        <family val="1"/>
      </rPr>
      <t>12</t>
    </r>
  </si>
  <si>
    <r>
      <t>по контрактам (договорам), планируемым
к заключению в соответствующем финансовом
году без применения норм Федерального закона
N 44-ФЗ и Федерального закона N 223-ФЗ</t>
    </r>
    <r>
      <rPr>
        <vertAlign val="superscript"/>
        <sz val="8.5"/>
        <rFont val="Times New Roman"/>
        <family val="1"/>
      </rPr>
      <t>12</t>
    </r>
  </si>
  <si>
    <r>
      <t>по контрактам (договорам), заключенным
до начала текущего финансового года с
учетом требований Федерального закона
N 44-ФЗ и Федерального закона N 223-ФЗ</t>
    </r>
    <r>
      <rPr>
        <vertAlign val="superscript"/>
        <sz val="8.5"/>
        <rFont val="Times New Roman"/>
        <family val="1"/>
      </rPr>
      <t>13</t>
    </r>
  </si>
  <si>
    <r>
      <t>по контрактам (договорам), планируемым
к заключению в соответствующем финансовом
году с учетом требований Федерального закона
N 44-ФЗ и Федерального закона N 223-ФЗ</t>
    </r>
    <r>
      <rPr>
        <vertAlign val="superscript"/>
        <sz val="8.5"/>
        <rFont val="Times New Roman"/>
        <family val="1"/>
      </rPr>
      <t>13</t>
    </r>
  </si>
  <si>
    <t xml:space="preserve">в том числе:
за счет субсидий, предоставляемых на финансовое
обеспечение выполнения государственного
(муниципального) задания </t>
  </si>
  <si>
    <t xml:space="preserve">за счет средств обязательного медицинского
страхования </t>
  </si>
  <si>
    <t xml:space="preserve">за счет субсидий, предоставляемых в соответствии с
абзацем вторым пункта 1 статьи 78.1 Бюджетного кодекса Российской Федерации </t>
  </si>
  <si>
    <r>
      <t>из них</t>
    </r>
    <r>
      <rPr>
        <vertAlign val="superscript"/>
        <sz val="8.5"/>
        <rFont val="Times New Roman"/>
        <family val="1"/>
      </rPr>
      <t>10.2</t>
    </r>
    <r>
      <rPr>
        <sz val="8.5"/>
        <rFont val="Times New Roman"/>
        <family val="1"/>
      </rPr>
      <t>:</t>
    </r>
  </si>
  <si>
    <t>26310.2</t>
  </si>
  <si>
    <r>
      <t>из них</t>
    </r>
    <r>
      <rPr>
        <vertAlign val="superscript"/>
        <sz val="8.5"/>
        <rFont val="Times New Roman"/>
        <family val="1"/>
      </rPr>
      <t>10.2</t>
    </r>
    <r>
      <rPr>
        <sz val="8.5"/>
        <rFont val="Times New Roman"/>
        <family val="1"/>
      </rPr>
      <t xml:space="preserve">:
</t>
    </r>
  </si>
  <si>
    <t>26430.2</t>
  </si>
  <si>
    <t>26451.2</t>
  </si>
  <si>
    <t>Директор</t>
  </si>
  <si>
    <t>(наименование учреждения)</t>
  </si>
  <si>
    <t>24</t>
  </si>
  <si>
    <t>Управление по делам молодежи и связям с общественностью мэрии города Магадана</t>
  </si>
  <si>
    <t>муниципальное бюджетное учреждение дополнительного образования "Социально-педагогический центр"</t>
  </si>
  <si>
    <t>44300155</t>
  </si>
  <si>
    <t>817</t>
  </si>
  <si>
    <t>44Ш3033</t>
  </si>
  <si>
    <t>4909075699</t>
  </si>
  <si>
    <t>490901001</t>
  </si>
  <si>
    <t>Расчеты (обоснования) к плану финансово-хозяйственной деятельности муниципального учреждения</t>
  </si>
  <si>
    <t>Расчеты (обоснования) выплат персоналу (строка 2110)</t>
  </si>
  <si>
    <t>Код вида расходов</t>
  </si>
  <si>
    <r>
      <t xml:space="preserve">Источник финансового обеспечения
</t>
    </r>
    <r>
      <rPr>
        <u val="single"/>
        <sz val="11"/>
        <color indexed="8"/>
        <rFont val="Times New Roman"/>
        <family val="1"/>
      </rPr>
      <t>субсидии на финансовое обеспечение выполнения муниципального задания на оказание муниципальных услуг (выполнение работ)</t>
    </r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</si>
  <si>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</si>
  <si>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</si>
  <si>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</si>
  <si>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</si>
  <si>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</si>
  <si>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 , %</t>
  </si>
  <si>
    <t>Районный коэффициент</t>
  </si>
  <si>
    <t>Фонд оплаты труда в год, руб. (гр.3 х( гр. 4 *гр.8/100+гр.9)  х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</si>
  <si>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</si>
  <si>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</si>
  <si>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</si>
  <si>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</si>
  <si>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Уборщик служебных помещений</t>
  </si>
  <si>
    <t xml:space="preserve">Дворник </t>
  </si>
  <si>
    <t>Гардеробщик</t>
  </si>
  <si>
    <t>Сторож</t>
  </si>
  <si>
    <t>Рабочий по комплексному обслуживанию и ремонту зданий</t>
  </si>
  <si>
    <t>Техник-программист</t>
  </si>
  <si>
    <t>Начальник хозяйственного отдела</t>
  </si>
  <si>
    <t>Юрисконсульт 2 категории</t>
  </si>
  <si>
    <t>Медицинская сестра</t>
  </si>
  <si>
    <t>Музыкальный руководитель</t>
  </si>
  <si>
    <t>Социальный педагог</t>
  </si>
  <si>
    <t>Педагог дополнительного образования</t>
  </si>
  <si>
    <t>Педагог-организатор</t>
  </si>
  <si>
    <t>Методист</t>
  </si>
  <si>
    <t>Педагог-психолог</t>
  </si>
  <si>
    <t>Заместитель директора по учебно-воспитательной работе</t>
  </si>
  <si>
    <t>Главный бухгалтер</t>
  </si>
  <si>
    <t>Всего:</t>
  </si>
  <si>
    <t>ОЗП</t>
  </si>
  <si>
    <t>УЗП</t>
  </si>
  <si>
    <t>Расчеты (обоснования) выплат персоналу (строка 2120)</t>
  </si>
  <si>
    <r>
      <t xml:space="preserve">Источник финансового обеспечения
</t>
    </r>
    <r>
      <rPr>
        <u val="single"/>
        <sz val="11"/>
        <color indexed="8"/>
        <rFont val="Times New Roman"/>
        <family val="1"/>
      </rPr>
      <t xml:space="preserve">субсидии на финансовое обеспечение выполнения муниципального задания на оказание </t>
    </r>
  </si>
  <si>
    <t>муниципальных услуг (выполнение работ)</t>
  </si>
  <si>
    <t>2.1.1.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</si>
  <si>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</si>
  <si>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</si>
  <si>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</si>
  <si>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</si>
  <si>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</si>
  <si>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Компенсация расходов по проезду в общественном транспорте (служебные поездки)</t>
  </si>
  <si>
    <t>Итого:</t>
  </si>
  <si>
    <t>2.1.2.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</si>
  <si>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</si>
  <si>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</si>
  <si>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</si>
  <si>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Выплата сотруднику, находящемуся в отпуске по уходу за ребенком до достижения им возраста 3-х лет</t>
  </si>
  <si>
    <t xml:space="preserve">        2.1.3.Расчеты (обоснования)  выплаты персоналу компенсации оплаты медицинского осмотра</t>
  </si>
  <si>
    <t>Средний размер выплаты на одного сотрудника, руб.</t>
  </si>
  <si>
    <t>Количество-работников, чел.</t>
  </si>
  <si>
    <t>Итого,  руб.</t>
  </si>
  <si>
    <t xml:space="preserve">Компенсация расходов на оплату обязательного медицинского осмотра </t>
  </si>
  <si>
    <t>2.1.4.Расчеты (обоснования)  выплаты компенсации расходов по проезду к месту использования отпуска и обратно</t>
  </si>
  <si>
    <t>Город</t>
  </si>
  <si>
    <t>Кол-во сотрудников, чел.</t>
  </si>
  <si>
    <t>Кол-во иждивенцев, чел.</t>
  </si>
  <si>
    <t>Итого кол-во человек с правом на проезд</t>
  </si>
  <si>
    <t> Цена проезда в обе стороны, руб. </t>
  </si>
  <si>
    <t>Итого, руб.</t>
  </si>
  <si>
    <t>5=3+4</t>
  </si>
  <si>
    <t>Санкт-Петербург</t>
  </si>
  <si>
    <t>Краснодар</t>
  </si>
  <si>
    <t>Москва</t>
  </si>
  <si>
    <t>Сочи</t>
  </si>
  <si>
    <t xml:space="preserve">        2.1.5.Расчеты (обоснования)  выплаты персоналу компенсации расходов на оплату курсов  повышения квалификации</t>
  </si>
  <si>
    <t>Компенсация расходов на оплату обучения на курсах повышения квалификации</t>
  </si>
  <si>
    <t>3.Расчеты (обоснования) расходов на социальные и иные выплаты населению                                                                        (строка 2120)</t>
  </si>
  <si>
    <t>Код видов расходов 320</t>
  </si>
  <si>
    <t xml:space="preserve">        3.1. Расчет (обоснование) расходов, связанных с проездом и провозом багажа при </t>
  </si>
  <si>
    <t>переезде из районов Крайнего Севера к новому месту жительства  в другую местность</t>
  </si>
  <si>
    <t>бывшим сотрудникам</t>
  </si>
  <si>
    <t>Компенсация расходов на оплату проезда и провозу багажа к новому месту жительства бывшему сотруднику</t>
  </si>
  <si>
    <t>Кредиторская задолженность  на 01.01.2022</t>
  </si>
  <si>
    <t>4.1. 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(стр.2140)</t>
  </si>
  <si>
    <t>Страховые взносы в Пенсионный фонд РФ, всего</t>
  </si>
  <si>
    <t>1.1</t>
  </si>
  <si>
    <t xml:space="preserve">     в том числе:
          по ставке 22,0%</t>
  </si>
  <si>
    <t>1.2</t>
  </si>
  <si>
    <t xml:space="preserve">          по ставке 10%</t>
  </si>
  <si>
    <t>1.3</t>
  </si>
  <si>
    <t xml:space="preserve">          с применением пониженных тарифов взносов в Пенсионный фонд РФ для отдельных категорий плательщиков</t>
  </si>
  <si>
    <t>2</t>
  </si>
  <si>
    <t>Страховые взносы в Фонд социального страхования РФ, всего</t>
  </si>
  <si>
    <t>2.1</t>
  </si>
  <si>
    <t xml:space="preserve">     в том числе: 
на обязательное социальное страхование на случай временной нетрудоспособности и в связи с материнством по ставке 2,9%</t>
  </si>
  <si>
    <t>2.2</t>
  </si>
  <si>
    <t xml:space="preserve">     с применением ставки взносов в ФСС РФ по ставке 0,0%</t>
  </si>
  <si>
    <t>2.3</t>
  </si>
  <si>
    <t xml:space="preserve">     обязательное социальное страхование от несчастных случаев на
     производстве и профессиональных заболеваний по ставке 0,2%</t>
  </si>
  <si>
    <t>2.4</t>
  </si>
  <si>
    <t xml:space="preserve">     обязательное социальное страхование от несчастных случаев на
    производстве и профессиональных заболеваний по ставке 0,__%*</t>
  </si>
  <si>
    <t>2.5</t>
  </si>
  <si>
    <t xml:space="preserve">     обязательное социальное страхование от несчастных случаев на
     производстве и профессиональных заболеваний по ставке 0,_%*</t>
  </si>
  <si>
    <t>3</t>
  </si>
  <si>
    <t>Страховые взносы в ФОМС, всего (по ставке 5,1%)</t>
  </si>
  <si>
    <t>Итого</t>
  </si>
  <si>
    <t>УНЧ</t>
  </si>
  <si>
    <t>ОНЧ</t>
  </si>
  <si>
    <t>5. Расчет (обоснование) расходов на уплату налогов, сборов и иных платежей (стр 2310)</t>
  </si>
  <si>
    <t xml:space="preserve">5.1. Расчет (обоснование) расходов на уплату налога на имущество и земельного налога </t>
  </si>
  <si>
    <r>
      <t xml:space="preserve">Код вида расходов </t>
    </r>
    <r>
      <rPr>
        <b/>
        <u val="single"/>
        <sz val="11"/>
        <color indexed="8"/>
        <rFont val="Times New Roman"/>
        <family val="1"/>
      </rPr>
      <t>851</t>
    </r>
  </si>
  <si>
    <t>Налоговая база, руб.</t>
  </si>
  <si>
    <t>Ставка налога, %</t>
  </si>
  <si>
    <t>Сумма исчисленного налога, подлежащего уплате, руб. (гр.3 х гр.4/100)</t>
  </si>
  <si>
    <t>Налог на имущество организаций</t>
  </si>
  <si>
    <t>5.2. Расчет (обоснование) расходов уплату иных платежей</t>
  </si>
  <si>
    <r>
      <t xml:space="preserve">Код видов расходов          </t>
    </r>
    <r>
      <rPr>
        <b/>
        <u val="single"/>
        <sz val="11"/>
        <color indexed="8"/>
        <rFont val="Times New Roman"/>
        <family val="1"/>
      </rPr>
      <t xml:space="preserve"> 853</t>
    </r>
  </si>
  <si>
    <t>Пени за несвоевременную уплату страховых взносов</t>
  </si>
  <si>
    <t xml:space="preserve"> (стр 2330)</t>
  </si>
  <si>
    <t>6.1.Расчет (обоснования) расходов на закупку товаров, работ, услуг (стр 2640)</t>
  </si>
  <si>
    <r>
      <t xml:space="preserve">Код вида расходов          </t>
    </r>
    <r>
      <rPr>
        <b/>
        <u val="single"/>
        <sz val="11"/>
        <color indexed="8"/>
        <rFont val="Times New Roman"/>
        <family val="1"/>
      </rPr>
      <t>244</t>
    </r>
  </si>
  <si>
    <t>6.1.1.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</si>
  <si>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</si>
  <si>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</si>
  <si>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</si>
  <si>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(гр.3 х гр.4 х гр5)</t>
  </si>
  <si>
    <t>Абонентская плата (местные телефонные соединения)</t>
  </si>
  <si>
    <t>Оплата услуг сотовой связи (интеренет)</t>
  </si>
  <si>
    <t>Услуги телематической связи (интернет)</t>
  </si>
  <si>
    <t>Электронный документооборот (сдача отчетов)</t>
  </si>
  <si>
    <t>Оплата отправки почтовой корреспонденции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</si>
  <si>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</si>
  <si>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</si>
  <si>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</si>
  <si>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(гр.3 х гр.4)</t>
  </si>
  <si>
    <t>6.1.2.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</si>
  <si>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</si>
  <si>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</si>
  <si>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(с учетом НДС), руб.</t>
  </si>
  <si>
    <t>Индексация, %</t>
  </si>
  <si>
    <t>Сумма, руб. (гр.4 х гр5)</t>
  </si>
  <si>
    <t>Горячее водоснабжение</t>
  </si>
  <si>
    <t>Гкал</t>
  </si>
  <si>
    <t>куб.м.</t>
  </si>
  <si>
    <t>Холодное водоснабжение</t>
  </si>
  <si>
    <t>Водоотведение</t>
  </si>
  <si>
    <t>Вывоз ТКО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</si>
  <si>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</si>
  <si>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</si>
  <si>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</si>
  <si>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</si>
  <si>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Электроэнергия</t>
  </si>
  <si>
    <t>кВт.ч</t>
  </si>
  <si>
    <t>Теплоэнергия</t>
  </si>
  <si>
    <t>6.1. Расчет (обоснования) расходов на закупку товаров, работ, услуг (стр 2640)</t>
  </si>
  <si>
    <t xml:space="preserve"> 6.1.3.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</si>
  <si>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</si>
  <si>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</si>
  <si>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</si>
  <si>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Поверка на сопротивление изоляции (перчатки, обувь)</t>
  </si>
  <si>
    <t>Техническое обслуживание внутренних инженерных сантехнических и электротехнических сетей</t>
  </si>
  <si>
    <t>Аварийное обслуживание внутренних инженерных сантехнических и электротехнических сетей</t>
  </si>
  <si>
    <t>Обслуживание приборов учета потребления коммунальных услуг</t>
  </si>
  <si>
    <t>Осмотр пожарного гидранта</t>
  </si>
  <si>
    <t>Проведение дератизации и дезинсекции</t>
  </si>
  <si>
    <t>Техническое обслуживание и регламентно-профилактический ремонт системы видеонаблюдения</t>
  </si>
  <si>
    <t>Ремонт офисной техники и заправка картриджей</t>
  </si>
  <si>
    <t>Проверка и перезарядка огнетущителей</t>
  </si>
  <si>
    <t xml:space="preserve">Обслуживание радиоканальной системы пультовой охраны </t>
  </si>
  <si>
    <t>6.1.4. Расчет (обоснование) расходов на оплату прочих работ, услуг</t>
  </si>
  <si>
    <t>Количество договоров</t>
  </si>
  <si>
    <t>Проведение санитарно-гигиенической экспертизы, лабораторно-инструментальных исследований</t>
  </si>
  <si>
    <t>Оценка соответствия режимов воспитания и обучения детей</t>
  </si>
  <si>
    <t>Оплата ежегодного медицинского осмотра</t>
  </si>
  <si>
    <t>Обучение и гигиеническая аттестация сотрудников</t>
  </si>
  <si>
    <t>Подписка на периодические издания (журналы)</t>
  </si>
  <si>
    <t>Обслуживание баз данных бухгалтерии</t>
  </si>
  <si>
    <t>Обслуживание сайта</t>
  </si>
  <si>
    <t>Приобретение программного обеспечения для ПК</t>
  </si>
  <si>
    <t>Оформление документов о технологическом присоединении</t>
  </si>
  <si>
    <t>Обучение ПТМ, ОТ, ГО ЧС</t>
  </si>
  <si>
    <t>Техническое обслуживание АПС</t>
  </si>
  <si>
    <t>6.1.5. Расчет (обоснование) расходов на приобретение материальных запасов</t>
  </si>
  <si>
    <t>Средняя стоимость, руб.</t>
  </si>
  <si>
    <t>Сумма, руб. (гр2 х гр3)</t>
  </si>
  <si>
    <t>Бумага офисная</t>
  </si>
  <si>
    <t>Строительные материалы</t>
  </si>
  <si>
    <t>Мягкий инвентарь</t>
  </si>
  <si>
    <t>Прочие материальные запасы</t>
  </si>
  <si>
    <t>Прочие МЗ однократного применения</t>
  </si>
  <si>
    <t>Средства мющие, чистящие</t>
  </si>
  <si>
    <r>
      <t xml:space="preserve">тел. </t>
    </r>
    <r>
      <rPr>
        <u val="single"/>
        <sz val="12"/>
        <color indexed="8"/>
        <rFont val="Times New Roman"/>
        <family val="1"/>
      </rPr>
      <t>60-24-42</t>
    </r>
  </si>
  <si>
    <t>«_____» ________________ 20__ г.</t>
  </si>
  <si>
    <t>главный бугалтер</t>
  </si>
  <si>
    <t>Н.Е.Чучева</t>
  </si>
  <si>
    <t>60-24-42</t>
  </si>
  <si>
    <t>Расчеты (обоснования) к плану финансово-хозяйственной деятельности государственного (муниципального) учреждения</t>
  </si>
  <si>
    <t>1.2.  Расчеты (обоснования) выплат персоналу (строка 2110)</t>
  </si>
  <si>
    <r>
      <t xml:space="preserve">Источник финансового обеспечения   </t>
    </r>
    <r>
      <rPr>
        <u val="single"/>
        <sz val="11"/>
        <rFont val="Times New Roman"/>
        <family val="1"/>
      </rPr>
      <t>субсидии на иные цели</t>
    </r>
  </si>
  <si>
    <t>Расчеты (обоснования) расходов на оплату труда</t>
  </si>
  <si>
    <t>№ 
п/п</t>
  </si>
  <si>
    <t>Должность, 
группа должностей</t>
  </si>
  <si>
    <t>Ежемесячная надбавка к должностному окладу,(северная надбавка)</t>
  </si>
  <si>
    <t>Фонд оплаты труда в год, руб.(гр. 3 x( гр. 4 +гр.8+гр.9) x 12)</t>
  </si>
  <si>
    <t>всего</t>
  </si>
  <si>
    <t>1</t>
  </si>
  <si>
    <t>4</t>
  </si>
  <si>
    <t>5</t>
  </si>
  <si>
    <t>6</t>
  </si>
  <si>
    <t>7</t>
  </si>
  <si>
    <t>8</t>
  </si>
  <si>
    <t>Дополнительные рабочие места временные на 1 месяц                              Рабочий по благоустройству  населенных пунктов</t>
  </si>
  <si>
    <t xml:space="preserve">Итого: </t>
  </si>
  <si>
    <t>Дополнительные рабочие места временные для работы в лагере с дневным пребыванием</t>
  </si>
  <si>
    <r>
      <t xml:space="preserve">Источник финансового обеспечения
</t>
    </r>
    <r>
      <rPr>
        <u val="single"/>
        <sz val="11"/>
        <color indexed="8"/>
        <rFont val="Times New Roman"/>
        <family val="1"/>
      </rPr>
      <t>субсидии на иные цели</t>
    </r>
  </si>
  <si>
    <t>2.2.1. Расчеты (обоснования) выплат персоналу компенсации коммунальных услуг</t>
  </si>
  <si>
    <t>Численность</t>
  </si>
  <si>
    <t>Размер выплаты</t>
  </si>
  <si>
    <t>Сумма, руб. (гр. 3 x гр. 4 x 
гр. 5)</t>
  </si>
  <si>
    <t>Компенсация расходов по оплате коммунальных услуг педагогическим работникам</t>
  </si>
  <si>
    <t xml:space="preserve">        2.2.3.Расчет (обоснование) расходов на предоставление единовременной выплаты работникам при прохождении добровольной вакцинации от COVID-19</t>
  </si>
  <si>
    <t>Количе   ство</t>
  </si>
  <si>
    <t>Сумма, руб. 
(гр. 2 x гр. 3)</t>
  </si>
  <si>
    <t>Единовременная выплата</t>
  </si>
  <si>
    <t>6.2.Расчет (обоснования) расходов на закупку товаров, работ, услуг (стр 2640)</t>
  </si>
  <si>
    <r>
      <t xml:space="preserve">Источник финансового обеспечения
субсидии на </t>
    </r>
    <r>
      <rPr>
        <u val="single"/>
        <sz val="11"/>
        <color indexed="8"/>
        <rFont val="Times New Roman"/>
        <family val="1"/>
      </rPr>
      <t>иные цели</t>
    </r>
  </si>
  <si>
    <t xml:space="preserve"> 6.2.1. Расчет (обоснование) расходов на оплату работ, услуг по содержанию имущества</t>
  </si>
  <si>
    <t xml:space="preserve"> 6.2.2. Расчет (обоснование) расходов на оплату прочих работ, услуг </t>
  </si>
  <si>
    <t>Оплата медицинского осмотра</t>
  </si>
  <si>
    <t xml:space="preserve"> 6.2.3. Расчет (обоснование) расходов на оплату страхования</t>
  </si>
  <si>
    <t>Страхование от несчастного случая</t>
  </si>
  <si>
    <t>6.2.4. Расчет (обоснование) расходов на приобретение основных средств</t>
  </si>
  <si>
    <t>6.2.5. Расчет (обоснование) расходов на приобретение материальных запасов</t>
  </si>
  <si>
    <t>Медикаменты</t>
  </si>
  <si>
    <t>Материалы для проведения мероприятий в летнем лагере</t>
  </si>
  <si>
    <t xml:space="preserve">Н.Е.Чучева </t>
  </si>
  <si>
    <t>4.2. 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(стр.2140)</t>
  </si>
  <si>
    <t xml:space="preserve">     с применением ставки взносов в ФСС РФ по ставке 2,9%</t>
  </si>
  <si>
    <t>профил</t>
  </si>
  <si>
    <t>Ремонт сетей холодного водоснабжения</t>
  </si>
  <si>
    <t>Организация питания в летнем лагере</t>
  </si>
  <si>
    <t xml:space="preserve">субсидии на финансовое обеспечение выполнения муниципального задания на оказание </t>
  </si>
  <si>
    <t>Компенсация расходов по проезду к новому месту жительства</t>
  </si>
  <si>
    <t xml:space="preserve">Сумма, руб. </t>
  </si>
  <si>
    <t>2.1.5. Расчеты (обоснования) выплат компенсации расходов к новому месту жительства</t>
  </si>
  <si>
    <t>25</t>
  </si>
  <si>
    <t>Спецоценка</t>
  </si>
  <si>
    <t>субсидии на иные  цели</t>
  </si>
  <si>
    <t>Социальное обеспечение, субвенции на дополнительные меры социальной поддержки работникам муниципальных образовательных организаций</t>
  </si>
  <si>
    <t>МФУ</t>
  </si>
  <si>
    <t xml:space="preserve">Аппарат телефонный </t>
  </si>
  <si>
    <t>Ноутбук</t>
  </si>
  <si>
    <t xml:space="preserve">Материалы для проведения мероприятий </t>
  </si>
  <si>
    <t>Материалы для уборки и дезинфекции</t>
  </si>
  <si>
    <t>И.о. директора</t>
  </si>
  <si>
    <t>Документовед 1 категории</t>
  </si>
  <si>
    <t>Бухгалтер 1 категории</t>
  </si>
  <si>
    <t>Ремонт ситемы видеонаблюдения</t>
  </si>
  <si>
    <t>Поверка приборов учета</t>
  </si>
  <si>
    <t>Справочные системы</t>
  </si>
  <si>
    <t>Новогодние подарки</t>
  </si>
  <si>
    <t>Сканер</t>
  </si>
  <si>
    <t>Стремянка</t>
  </si>
  <si>
    <r>
      <rPr>
        <b/>
        <sz val="11"/>
        <color indexed="8"/>
        <rFont val="Times New Roman"/>
        <family val="1"/>
      </rPr>
      <t xml:space="preserve">Код вида расходов         </t>
    </r>
    <r>
      <rPr>
        <b/>
        <u val="single"/>
        <sz val="11"/>
        <color indexed="8"/>
        <rFont val="Times New Roman"/>
        <family val="1"/>
      </rPr>
      <t xml:space="preserve"> 247  (стр 2660)</t>
    </r>
  </si>
  <si>
    <t>А.О. Орехова</t>
  </si>
  <si>
    <t>(стр 2211)</t>
  </si>
  <si>
    <t xml:space="preserve">2.2.2. Расчеты (обоснования) выплат пособия, компенсации и иные социальные выплаты гражданам, кроме публичных нормативных обязательств </t>
  </si>
  <si>
    <t>А.О.Орехова</t>
  </si>
  <si>
    <t>26</t>
  </si>
  <si>
    <t>Новосибирск</t>
  </si>
  <si>
    <t>Кредиторская задолженность на 01.01.2024</t>
  </si>
  <si>
    <t>Кредиторская задолженность на 01.01.2024 г.</t>
  </si>
  <si>
    <t>Опрессовка</t>
  </si>
  <si>
    <t>21.02.2024</t>
  </si>
  <si>
    <t>21</t>
  </si>
  <si>
    <t>февраля</t>
  </si>
  <si>
    <t>Руководитель</t>
  </si>
  <si>
    <t xml:space="preserve"> управления по делам молодежии связям с общественностью  мэрии города Магадана</t>
  </si>
  <si>
    <t xml:space="preserve">6.3.Расчет (обоснования) расходов на погашение кредиторской задолженности </t>
  </si>
  <si>
    <t>Погашение кредиторской задолженности</t>
  </si>
  <si>
    <t>КВР/КОСГУ</t>
  </si>
  <si>
    <t>сумма</t>
  </si>
  <si>
    <t>244/221</t>
  </si>
  <si>
    <t>244/223</t>
  </si>
  <si>
    <t>247/223</t>
  </si>
  <si>
    <t>244/225</t>
  </si>
  <si>
    <t>244/226</t>
  </si>
  <si>
    <t>851/291</t>
  </si>
  <si>
    <t>853/292</t>
  </si>
  <si>
    <t>119/213</t>
  </si>
  <si>
    <t>ИТОГО</t>
  </si>
  <si>
    <t>В.В. Глазырина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</si>
</sst>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_р_._-;\-* #,##0.00\ _р_._-;_-* &quot;-&quot;??\ _р_._-;_-@_-"/>
    <numFmt numFmtId="177" formatCode="0.0"/>
  </numFmts>
  <fonts count="92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sz val="7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22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8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0" tint="-0.04997999966144562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53">
      <alignment/>
      <protection/>
    </xf>
    <xf numFmtId="0" fontId="79" fillId="0" borderId="0" xfId="53" applyFont="1" applyBorder="1" applyAlignment="1">
      <alignment/>
      <protection/>
    </xf>
    <xf numFmtId="0" fontId="79" fillId="0" borderId="10" xfId="53" applyFont="1" applyBorder="1" applyAlignment="1">
      <alignment horizontal="center"/>
      <protection/>
    </xf>
    <xf numFmtId="0" fontId="80" fillId="0" borderId="20" xfId="53" applyFont="1" applyBorder="1" applyAlignment="1">
      <alignment horizontal="center" vertical="center" wrapText="1"/>
      <protection/>
    </xf>
    <xf numFmtId="0" fontId="80" fillId="0" borderId="20" xfId="53" applyFont="1" applyFill="1" applyBorder="1" applyAlignment="1">
      <alignment horizontal="center" vertical="center" wrapText="1"/>
      <protection/>
    </xf>
    <xf numFmtId="0" fontId="80" fillId="0" borderId="20" xfId="53" applyFont="1" applyBorder="1" applyAlignment="1">
      <alignment horizontal="center"/>
      <protection/>
    </xf>
    <xf numFmtId="0" fontId="81" fillId="0" borderId="0" xfId="53" applyFont="1">
      <alignment/>
      <protection/>
    </xf>
    <xf numFmtId="0" fontId="80" fillId="0" borderId="20" xfId="53" applyFont="1" applyBorder="1" applyAlignment="1">
      <alignment horizontal="left" vertical="top" wrapText="1"/>
      <protection/>
    </xf>
    <xf numFmtId="0" fontId="80" fillId="0" borderId="20" xfId="53" applyFont="1" applyBorder="1" applyAlignment="1">
      <alignment horizontal="center" vertical="center"/>
      <protection/>
    </xf>
    <xf numFmtId="4" fontId="80" fillId="0" borderId="20" xfId="53" applyNumberFormat="1" applyFont="1" applyBorder="1" applyAlignment="1">
      <alignment horizontal="center"/>
      <protection/>
    </xf>
    <xf numFmtId="4" fontId="0" fillId="0" borderId="0" xfId="53" applyNumberFormat="1" applyFont="1">
      <alignment/>
      <protection/>
    </xf>
    <xf numFmtId="0" fontId="81" fillId="0" borderId="0" xfId="53" applyFont="1" applyBorder="1">
      <alignment/>
      <protection/>
    </xf>
    <xf numFmtId="4" fontId="81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80" fillId="0" borderId="20" xfId="53" applyFont="1" applyBorder="1">
      <alignment/>
      <protection/>
    </xf>
    <xf numFmtId="0" fontId="80" fillId="0" borderId="20" xfId="53" applyFont="1" applyBorder="1" applyAlignment="1">
      <alignment horizontal="right"/>
      <protection/>
    </xf>
    <xf numFmtId="4" fontId="80" fillId="0" borderId="20" xfId="53" applyNumberFormat="1" applyFont="1" applyBorder="1">
      <alignment/>
      <protection/>
    </xf>
    <xf numFmtId="0" fontId="80" fillId="0" borderId="21" xfId="53" applyFont="1" applyBorder="1">
      <alignment/>
      <protection/>
    </xf>
    <xf numFmtId="0" fontId="80" fillId="0" borderId="21" xfId="53" applyFont="1" applyBorder="1" applyAlignment="1">
      <alignment horizontal="center"/>
      <protection/>
    </xf>
    <xf numFmtId="4" fontId="80" fillId="0" borderId="21" xfId="53" applyNumberFormat="1" applyFont="1" applyBorder="1" applyAlignment="1">
      <alignment horizontal="center" vertical="center"/>
      <protection/>
    </xf>
    <xf numFmtId="0" fontId="0" fillId="0" borderId="21" xfId="53" applyBorder="1">
      <alignment/>
      <protection/>
    </xf>
    <xf numFmtId="0" fontId="80" fillId="0" borderId="0" xfId="53" applyFont="1" applyBorder="1">
      <alignment/>
      <protection/>
    </xf>
    <xf numFmtId="0" fontId="82" fillId="0" borderId="0" xfId="53" applyFont="1" applyBorder="1" applyAlignment="1">
      <alignment horizontal="right"/>
      <protection/>
    </xf>
    <xf numFmtId="0" fontId="82" fillId="0" borderId="0" xfId="53" applyFont="1" applyBorder="1">
      <alignment/>
      <protection/>
    </xf>
    <xf numFmtId="4" fontId="82" fillId="0" borderId="0" xfId="53" applyNumberFormat="1" applyFont="1" applyBorder="1">
      <alignment/>
      <protection/>
    </xf>
    <xf numFmtId="4" fontId="82" fillId="0" borderId="0" xfId="53" applyNumberFormat="1" applyFont="1" applyBorder="1" applyAlignment="1">
      <alignment/>
      <protection/>
    </xf>
    <xf numFmtId="0" fontId="0" fillId="0" borderId="0" xfId="53" applyBorder="1">
      <alignment/>
      <protection/>
    </xf>
    <xf numFmtId="2" fontId="80" fillId="0" borderId="0" xfId="53" applyNumberFormat="1" applyFont="1" applyBorder="1" applyAlignment="1">
      <alignment horizontal="center"/>
      <protection/>
    </xf>
    <xf numFmtId="4" fontId="80" fillId="0" borderId="0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5" fillId="0" borderId="0" xfId="53" applyFont="1">
      <alignment/>
      <protection/>
    </xf>
    <xf numFmtId="4" fontId="80" fillId="0" borderId="20" xfId="53" applyNumberFormat="1" applyFont="1" applyBorder="1" applyAlignment="1">
      <alignment horizontal="center" vertical="center"/>
      <protection/>
    </xf>
    <xf numFmtId="2" fontId="80" fillId="0" borderId="20" xfId="53" applyNumberFormat="1" applyFont="1" applyBorder="1" applyAlignment="1">
      <alignment horizontal="center" vertical="center"/>
      <protection/>
    </xf>
    <xf numFmtId="0" fontId="80" fillId="0" borderId="0" xfId="53" applyFont="1">
      <alignment/>
      <protection/>
    </xf>
    <xf numFmtId="0" fontId="80" fillId="0" borderId="0" xfId="53" applyFont="1" applyBorder="1" applyAlignment="1">
      <alignment horizontal="right"/>
      <protection/>
    </xf>
    <xf numFmtId="0" fontId="80" fillId="0" borderId="0" xfId="53" applyFont="1" applyBorder="1" applyAlignment="1">
      <alignment horizontal="center" vertical="center"/>
      <protection/>
    </xf>
    <xf numFmtId="2" fontId="80" fillId="0" borderId="0" xfId="53" applyNumberFormat="1" applyFont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0" fillId="0" borderId="22" xfId="53" applyBorder="1" applyAlignment="1">
      <alignment horizontal="left" vertical="top" wrapText="1"/>
      <protection/>
    </xf>
    <xf numFmtId="0" fontId="0" fillId="0" borderId="23" xfId="53" applyBorder="1" applyAlignment="1">
      <alignment horizontal="left" vertical="top" wrapText="1"/>
      <protection/>
    </xf>
    <xf numFmtId="2" fontId="5" fillId="0" borderId="20" xfId="56" applyNumberFormat="1" applyFont="1" applyBorder="1" applyAlignment="1">
      <alignment horizontal="center" vertical="center" wrapText="1"/>
      <protection/>
    </xf>
    <xf numFmtId="2" fontId="5" fillId="33" borderId="20" xfId="57" applyNumberFormat="1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2" fontId="5" fillId="0" borderId="0" xfId="56" applyNumberFormat="1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2" fontId="5" fillId="33" borderId="0" xfId="57" applyNumberFormat="1" applyFont="1" applyFill="1" applyBorder="1" applyAlignment="1">
      <alignment horizontal="center" vertical="center" wrapText="1"/>
      <protection/>
    </xf>
    <xf numFmtId="0" fontId="5" fillId="33" borderId="24" xfId="57" applyFont="1" applyFill="1" applyBorder="1" applyAlignment="1">
      <alignment horizontal="center" wrapText="1"/>
      <protection/>
    </xf>
    <xf numFmtId="0" fontId="5" fillId="33" borderId="20" xfId="57" applyFont="1" applyFill="1" applyBorder="1" applyAlignment="1">
      <alignment horizontal="left" vertical="center" wrapText="1"/>
      <protection/>
    </xf>
    <xf numFmtId="177" fontId="5" fillId="0" borderId="20" xfId="56" applyNumberFormat="1" applyFont="1" applyBorder="1" applyAlignment="1">
      <alignment horizontal="center" vertical="top" wrapText="1"/>
      <protection/>
    </xf>
    <xf numFmtId="0" fontId="5" fillId="0" borderId="20" xfId="56" applyFont="1" applyBorder="1" applyAlignment="1">
      <alignment horizontal="center"/>
      <protection/>
    </xf>
    <xf numFmtId="0" fontId="5" fillId="0" borderId="24" xfId="57" applyNumberFormat="1" applyFont="1" applyFill="1" applyBorder="1" applyAlignment="1">
      <alignment horizontal="center"/>
      <protection/>
    </xf>
    <xf numFmtId="0" fontId="5" fillId="0" borderId="20" xfId="56" applyFont="1" applyBorder="1" applyAlignment="1">
      <alignment horizontal="left" vertical="top" wrapText="1"/>
      <protection/>
    </xf>
    <xf numFmtId="0" fontId="5" fillId="0" borderId="20" xfId="56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177" fontId="0" fillId="0" borderId="0" xfId="53" applyNumberFormat="1">
      <alignment/>
      <protection/>
    </xf>
    <xf numFmtId="0" fontId="5" fillId="0" borderId="24" xfId="57" applyNumberFormat="1" applyFont="1" applyFill="1" applyBorder="1" applyAlignment="1">
      <alignment horizontal="left" vertical="top"/>
      <protection/>
    </xf>
    <xf numFmtId="0" fontId="0" fillId="0" borderId="20" xfId="53" applyBorder="1">
      <alignment/>
      <protection/>
    </xf>
    <xf numFmtId="0" fontId="5" fillId="0" borderId="20" xfId="56" applyFont="1" applyFill="1" applyBorder="1" applyAlignment="1">
      <alignment horizontal="left" vertical="top" wrapText="1"/>
      <protection/>
    </xf>
    <xf numFmtId="0" fontId="79" fillId="0" borderId="20" xfId="53" applyFont="1" applyBorder="1">
      <alignment/>
      <protection/>
    </xf>
    <xf numFmtId="0" fontId="0" fillId="0" borderId="20" xfId="53" applyBorder="1" applyAlignment="1">
      <alignment horizontal="center"/>
      <protection/>
    </xf>
    <xf numFmtId="0" fontId="79" fillId="0" borderId="20" xfId="53" applyFont="1" applyBorder="1" applyAlignment="1">
      <alignment horizontal="center"/>
      <protection/>
    </xf>
    <xf numFmtId="3" fontId="80" fillId="0" borderId="20" xfId="53" applyNumberFormat="1" applyFont="1" applyBorder="1" applyAlignment="1">
      <alignment horizontal="center"/>
      <protection/>
    </xf>
    <xf numFmtId="4" fontId="0" fillId="0" borderId="0" xfId="53" applyNumberFormat="1">
      <alignment/>
      <protection/>
    </xf>
    <xf numFmtId="0" fontId="0" fillId="0" borderId="20" xfId="53" applyFont="1" applyBorder="1">
      <alignment/>
      <protection/>
    </xf>
    <xf numFmtId="49" fontId="80" fillId="0" borderId="20" xfId="53" applyNumberFormat="1" applyFont="1" applyBorder="1" applyAlignment="1">
      <alignment horizontal="center"/>
      <protection/>
    </xf>
    <xf numFmtId="0" fontId="80" fillId="0" borderId="24" xfId="53" applyFont="1" applyBorder="1" applyAlignment="1">
      <alignment horizontal="left" wrapText="1"/>
      <protection/>
    </xf>
    <xf numFmtId="0" fontId="80" fillId="0" borderId="22" xfId="53" applyFont="1" applyBorder="1" applyAlignment="1">
      <alignment horizontal="left" wrapText="1"/>
      <protection/>
    </xf>
    <xf numFmtId="0" fontId="80" fillId="0" borderId="23" xfId="53" applyFont="1" applyBorder="1" applyAlignment="1">
      <alignment horizontal="right" wrapText="1"/>
      <protection/>
    </xf>
    <xf numFmtId="0" fontId="79" fillId="0" borderId="0" xfId="53" applyFont="1">
      <alignment/>
      <protection/>
    </xf>
    <xf numFmtId="0" fontId="79" fillId="0" borderId="0" xfId="53" applyFont="1" applyAlignment="1">
      <alignment horizontal="center"/>
      <protection/>
    </xf>
    <xf numFmtId="0" fontId="79" fillId="0" borderId="0" xfId="53" applyFont="1" applyBorder="1" applyAlignment="1">
      <alignment horizontal="center"/>
      <protection/>
    </xf>
    <xf numFmtId="0" fontId="80" fillId="0" borderId="24" xfId="53" applyFont="1" applyBorder="1">
      <alignment/>
      <protection/>
    </xf>
    <xf numFmtId="4" fontId="80" fillId="0" borderId="22" xfId="53" applyNumberFormat="1" applyFont="1" applyBorder="1" applyAlignment="1">
      <alignment horizontal="center"/>
      <protection/>
    </xf>
    <xf numFmtId="4" fontId="80" fillId="0" borderId="23" xfId="53" applyNumberFormat="1" applyFont="1" applyBorder="1" applyAlignment="1">
      <alignment horizontal="center"/>
      <protection/>
    </xf>
    <xf numFmtId="0" fontId="79" fillId="0" borderId="0" xfId="53" applyFont="1" applyAlignment="1">
      <alignment/>
      <protection/>
    </xf>
    <xf numFmtId="4" fontId="81" fillId="34" borderId="0" xfId="53" applyNumberFormat="1" applyFont="1" applyFill="1">
      <alignment/>
      <protection/>
    </xf>
    <xf numFmtId="0" fontId="83" fillId="0" borderId="20" xfId="53" applyFont="1" applyBorder="1" applyAlignment="1">
      <alignment horizontal="center"/>
      <protection/>
    </xf>
    <xf numFmtId="0" fontId="80" fillId="0" borderId="24" xfId="53" applyFont="1" applyBorder="1" applyAlignment="1">
      <alignment vertical="center" wrapText="1"/>
      <protection/>
    </xf>
    <xf numFmtId="0" fontId="80" fillId="0" borderId="24" xfId="53" applyFont="1" applyBorder="1" applyAlignment="1">
      <alignment/>
      <protection/>
    </xf>
    <xf numFmtId="0" fontId="80" fillId="0" borderId="20" xfId="53" applyFont="1" applyBorder="1" applyAlignment="1">
      <alignment horizontal="left"/>
      <protection/>
    </xf>
    <xf numFmtId="4" fontId="5" fillId="34" borderId="20" xfId="53" applyNumberFormat="1" applyFont="1" applyFill="1" applyBorder="1" applyAlignment="1">
      <alignment horizontal="center" vertical="center"/>
      <protection/>
    </xf>
    <xf numFmtId="0" fontId="80" fillId="0" borderId="25" xfId="53" applyFont="1" applyFill="1" applyBorder="1" applyAlignment="1">
      <alignment horizontal="center"/>
      <protection/>
    </xf>
    <xf numFmtId="0" fontId="80" fillId="0" borderId="20" xfId="53" applyFont="1" applyBorder="1" applyAlignment="1">
      <alignment wrapText="1"/>
      <protection/>
    </xf>
    <xf numFmtId="4" fontId="5" fillId="0" borderId="20" xfId="53" applyNumberFormat="1" applyFont="1" applyBorder="1" applyAlignment="1">
      <alignment horizontal="center" vertical="center"/>
      <protection/>
    </xf>
    <xf numFmtId="0" fontId="80" fillId="0" borderId="21" xfId="53" applyFont="1" applyBorder="1" applyAlignment="1">
      <alignment horizontal="right"/>
      <protection/>
    </xf>
    <xf numFmtId="0" fontId="80" fillId="0" borderId="21" xfId="53" applyFont="1" applyBorder="1" applyAlignment="1">
      <alignment/>
      <protection/>
    </xf>
    <xf numFmtId="4" fontId="80" fillId="0" borderId="21" xfId="53" applyNumberFormat="1" applyFont="1" applyBorder="1">
      <alignment/>
      <protection/>
    </xf>
    <xf numFmtId="0" fontId="80" fillId="0" borderId="0" xfId="53" applyFont="1" applyBorder="1" applyAlignment="1">
      <alignment horizontal="center" vertical="center" wrapText="1"/>
      <protection/>
    </xf>
    <xf numFmtId="4" fontId="80" fillId="0" borderId="0" xfId="53" applyNumberFormat="1" applyFont="1" applyBorder="1" applyAlignment="1">
      <alignment horizontal="center" vertical="center" wrapText="1"/>
      <protection/>
    </xf>
    <xf numFmtId="0" fontId="83" fillId="0" borderId="0" xfId="53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80" fillId="0" borderId="0" xfId="53" applyFont="1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84" fillId="0" borderId="0" xfId="53" applyFont="1" applyBorder="1" applyAlignment="1">
      <alignment horizontal="justify" vertical="center" wrapText="1"/>
      <protection/>
    </xf>
    <xf numFmtId="0" fontId="84" fillId="0" borderId="0" xfId="53" applyFont="1" applyBorder="1" applyAlignment="1">
      <alignment horizontal="center" vertical="center" wrapText="1"/>
      <protection/>
    </xf>
    <xf numFmtId="0" fontId="85" fillId="0" borderId="0" xfId="53" applyFont="1" applyBorder="1" applyAlignment="1">
      <alignment horizontal="center" vertical="center" wrapText="1"/>
      <protection/>
    </xf>
    <xf numFmtId="0" fontId="85" fillId="0" borderId="0" xfId="53" applyFont="1" applyBorder="1" applyAlignment="1">
      <alignment horizontal="right" vertical="center" wrapText="1"/>
      <protection/>
    </xf>
    <xf numFmtId="0" fontId="85" fillId="0" borderId="0" xfId="53" applyFont="1" applyBorder="1" applyAlignment="1">
      <alignment horizontal="left" vertical="center" wrapText="1"/>
      <protection/>
    </xf>
    <xf numFmtId="0" fontId="84" fillId="0" borderId="0" xfId="53" applyFont="1" applyBorder="1" applyAlignment="1">
      <alignment vertical="center" wrapText="1"/>
      <protection/>
    </xf>
    <xf numFmtId="0" fontId="84" fillId="0" borderId="0" xfId="53" applyFont="1" applyAlignment="1">
      <alignment vertical="center"/>
      <protection/>
    </xf>
    <xf numFmtId="0" fontId="84" fillId="0" borderId="0" xfId="53" applyFont="1" applyAlignment="1">
      <alignment horizontal="justify" vertical="center" wrapText="1"/>
      <protection/>
    </xf>
    <xf numFmtId="4" fontId="80" fillId="34" borderId="20" xfId="53" applyNumberFormat="1" applyFont="1" applyFill="1" applyBorder="1" applyAlignment="1">
      <alignment horizontal="center" vertical="center"/>
      <protection/>
    </xf>
    <xf numFmtId="0" fontId="80" fillId="0" borderId="24" xfId="53" applyFont="1" applyBorder="1" applyAlignment="1">
      <alignment horizontal="left"/>
      <protection/>
    </xf>
    <xf numFmtId="0" fontId="80" fillId="0" borderId="22" xfId="53" applyFont="1" applyBorder="1" applyAlignment="1">
      <alignment horizontal="left"/>
      <protection/>
    </xf>
    <xf numFmtId="0" fontId="80" fillId="0" borderId="23" xfId="53" applyFont="1" applyBorder="1" applyAlignment="1">
      <alignment horizontal="center"/>
      <protection/>
    </xf>
    <xf numFmtId="0" fontId="80" fillId="0" borderId="24" xfId="53" applyFont="1" applyBorder="1" applyAlignment="1">
      <alignment horizontal="left" vertical="top" wrapText="1"/>
      <protection/>
    </xf>
    <xf numFmtId="0" fontId="80" fillId="0" borderId="22" xfId="53" applyFont="1" applyBorder="1" applyAlignment="1">
      <alignment horizontal="left" vertical="top" wrapText="1"/>
      <protection/>
    </xf>
    <xf numFmtId="0" fontId="80" fillId="0" borderId="23" xfId="53" applyFont="1" applyBorder="1" applyAlignment="1">
      <alignment horizontal="left" vertical="top" wrapText="1"/>
      <protection/>
    </xf>
    <xf numFmtId="0" fontId="0" fillId="0" borderId="26" xfId="53" applyBorder="1" applyAlignment="1">
      <alignment horizontal="center" textRotation="90" wrapText="1"/>
      <protection/>
    </xf>
    <xf numFmtId="0" fontId="86" fillId="34" borderId="20" xfId="53" applyFont="1" applyFill="1" applyBorder="1" applyAlignment="1">
      <alignment textRotation="90"/>
      <protection/>
    </xf>
    <xf numFmtId="0" fontId="86" fillId="34" borderId="26" xfId="53" applyFont="1" applyFill="1" applyBorder="1" applyAlignment="1">
      <alignment textRotation="90"/>
      <protection/>
    </xf>
    <xf numFmtId="0" fontId="0" fillId="0" borderId="0" xfId="53" applyAlignment="1">
      <alignment horizontal="left"/>
      <protection/>
    </xf>
    <xf numFmtId="0" fontId="80" fillId="0" borderId="22" xfId="53" applyFont="1" applyBorder="1" applyAlignment="1">
      <alignment horizontal="center"/>
      <protection/>
    </xf>
    <xf numFmtId="4" fontId="80" fillId="0" borderId="0" xfId="53" applyNumberFormat="1" applyFont="1" applyBorder="1">
      <alignment/>
      <protection/>
    </xf>
    <xf numFmtId="0" fontId="87" fillId="0" borderId="0" xfId="53" applyFont="1" applyBorder="1" applyAlignment="1">
      <alignment vertical="center" wrapText="1"/>
      <protection/>
    </xf>
    <xf numFmtId="0" fontId="23" fillId="0" borderId="0" xfId="53" applyFont="1" applyBorder="1" applyAlignment="1">
      <alignment horizontal="left" vertical="center" wrapText="1"/>
      <protection/>
    </xf>
    <xf numFmtId="0" fontId="84" fillId="0" borderId="10" xfId="53" applyFont="1" applyBorder="1" applyAlignment="1">
      <alignment horizontal="center" vertical="center" wrapText="1"/>
      <protection/>
    </xf>
    <xf numFmtId="0" fontId="84" fillId="0" borderId="0" xfId="53" applyFont="1" applyBorder="1" applyAlignment="1">
      <alignment vertical="center"/>
      <protection/>
    </xf>
    <xf numFmtId="0" fontId="80" fillId="0" borderId="20" xfId="53" applyFont="1" applyBorder="1" applyAlignment="1">
      <alignment horizontal="center" vertical="center" wrapText="1"/>
      <protection/>
    </xf>
    <xf numFmtId="0" fontId="80" fillId="0" borderId="20" xfId="53" applyFont="1" applyBorder="1" applyAlignment="1">
      <alignment horizontal="center"/>
      <protection/>
    </xf>
    <xf numFmtId="0" fontId="80" fillId="0" borderId="24" xfId="53" applyFont="1" applyBorder="1" applyAlignment="1">
      <alignment horizontal="center" vertical="center" wrapText="1"/>
      <protection/>
    </xf>
    <xf numFmtId="0" fontId="80" fillId="0" borderId="24" xfId="53" applyFont="1" applyBorder="1" applyAlignment="1">
      <alignment horizontal="center"/>
      <protection/>
    </xf>
    <xf numFmtId="0" fontId="84" fillId="0" borderId="0" xfId="53" applyFont="1" applyBorder="1" applyAlignment="1">
      <alignment horizontal="left" vertical="center" wrapText="1"/>
      <protection/>
    </xf>
    <xf numFmtId="0" fontId="0" fillId="0" borderId="0" xfId="54" applyNumberFormat="1" applyFont="1" applyBorder="1" applyAlignment="1">
      <alignment horizontal="left"/>
      <protection/>
    </xf>
    <xf numFmtId="0" fontId="4" fillId="0" borderId="0" xfId="54" applyNumberFormat="1" applyFont="1" applyBorder="1" applyAlignment="1">
      <alignment horizontal="center"/>
      <protection/>
    </xf>
    <xf numFmtId="0" fontId="4" fillId="0" borderId="0" xfId="54" applyNumberFormat="1" applyFont="1" applyBorder="1" applyAlignment="1">
      <alignment horizontal="left"/>
      <protection/>
    </xf>
    <xf numFmtId="49" fontId="4" fillId="0" borderId="0" xfId="54" applyNumberFormat="1" applyFont="1" applyBorder="1" applyAlignment="1">
      <alignment horizontal="left"/>
      <protection/>
    </xf>
    <xf numFmtId="49" fontId="4" fillId="0" borderId="21" xfId="54" applyNumberFormat="1" applyFont="1" applyBorder="1" applyAlignment="1">
      <alignment horizontal="left"/>
      <protection/>
    </xf>
    <xf numFmtId="0" fontId="0" fillId="0" borderId="20" xfId="54" applyNumberFormat="1" applyFont="1" applyBorder="1" applyAlignment="1">
      <alignment horizontal="center" vertical="center" wrapText="1"/>
      <protection/>
    </xf>
    <xf numFmtId="0" fontId="0" fillId="0" borderId="20" xfId="54" applyNumberFormat="1" applyFont="1" applyBorder="1" applyAlignment="1">
      <alignment horizontal="center" vertical="top"/>
      <protection/>
    </xf>
    <xf numFmtId="49" fontId="23" fillId="0" borderId="20" xfId="54" applyNumberFormat="1" applyFont="1" applyBorder="1" applyAlignment="1">
      <alignment horizontal="center" vertical="center"/>
      <protection/>
    </xf>
    <xf numFmtId="0" fontId="23" fillId="0" borderId="20" xfId="54" applyNumberFormat="1" applyFont="1" applyBorder="1" applyAlignment="1">
      <alignment horizontal="center" vertical="center"/>
      <protection/>
    </xf>
    <xf numFmtId="2" fontId="23" fillId="0" borderId="20" xfId="54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0" fillId="0" borderId="20" xfId="54" applyNumberFormat="1" applyFont="1" applyBorder="1" applyAlignment="1">
      <alignment horizontal="center" vertical="top" wrapText="1"/>
      <protection/>
    </xf>
    <xf numFmtId="2" fontId="23" fillId="0" borderId="20" xfId="0" applyNumberFormat="1" applyFont="1" applyBorder="1" applyAlignment="1">
      <alignment horizontal="center" vertical="center"/>
    </xf>
    <xf numFmtId="2" fontId="23" fillId="34" borderId="20" xfId="54" applyNumberFormat="1" applyFont="1" applyFill="1" applyBorder="1" applyAlignment="1">
      <alignment horizontal="center" vertical="center"/>
      <protection/>
    </xf>
    <xf numFmtId="0" fontId="23" fillId="33" borderId="20" xfId="57" applyFont="1" applyFill="1" applyBorder="1" applyAlignment="1">
      <alignment horizontal="center" vertical="center" wrapText="1"/>
      <protection/>
    </xf>
    <xf numFmtId="2" fontId="23" fillId="0" borderId="20" xfId="56" applyNumberFormat="1" applyFont="1" applyBorder="1" applyAlignment="1">
      <alignment horizontal="center" vertical="center" wrapText="1"/>
      <protection/>
    </xf>
    <xf numFmtId="0" fontId="23" fillId="0" borderId="20" xfId="56" applyFont="1" applyBorder="1" applyAlignment="1">
      <alignment horizontal="center" vertical="center" wrapText="1"/>
      <protection/>
    </xf>
    <xf numFmtId="2" fontId="23" fillId="33" borderId="20" xfId="57" applyNumberFormat="1" applyFont="1" applyFill="1" applyBorder="1" applyAlignment="1">
      <alignment horizontal="center" vertical="center" wrapText="1"/>
      <protection/>
    </xf>
    <xf numFmtId="0" fontId="80" fillId="34" borderId="20" xfId="0" applyFont="1" applyFill="1" applyBorder="1" applyAlignment="1">
      <alignment horizontal="center" vertical="center" wrapText="1"/>
    </xf>
    <xf numFmtId="0" fontId="83" fillId="34" borderId="20" xfId="0" applyFont="1" applyFill="1" applyBorder="1" applyAlignment="1">
      <alignment horizontal="center"/>
    </xf>
    <xf numFmtId="0" fontId="83" fillId="34" borderId="24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80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top" wrapText="1"/>
    </xf>
    <xf numFmtId="4" fontId="80" fillId="34" borderId="20" xfId="0" applyNumberFormat="1" applyFont="1" applyFill="1" applyBorder="1" applyAlignment="1">
      <alignment horizontal="center" vertical="center"/>
    </xf>
    <xf numFmtId="0" fontId="80" fillId="34" borderId="20" xfId="0" applyFont="1" applyFill="1" applyBorder="1" applyAlignment="1">
      <alignment/>
    </xf>
    <xf numFmtId="2" fontId="80" fillId="34" borderId="20" xfId="0" applyNumberFormat="1" applyFont="1" applyFill="1" applyBorder="1" applyAlignment="1">
      <alignment horizontal="center"/>
    </xf>
    <xf numFmtId="0" fontId="80" fillId="34" borderId="20" xfId="53" applyFont="1" applyFill="1" applyBorder="1" applyAlignment="1">
      <alignment horizontal="center" vertical="center"/>
      <protection/>
    </xf>
    <xf numFmtId="0" fontId="80" fillId="34" borderId="20" xfId="53" applyFont="1" applyFill="1" applyBorder="1">
      <alignment/>
      <protection/>
    </xf>
    <xf numFmtId="0" fontId="80" fillId="34" borderId="20" xfId="53" applyFont="1" applyFill="1" applyBorder="1" applyAlignment="1">
      <alignment horizontal="center" vertical="center" wrapText="1"/>
      <protection/>
    </xf>
    <xf numFmtId="0" fontId="83" fillId="34" borderId="20" xfId="53" applyFont="1" applyFill="1" applyBorder="1" applyAlignment="1">
      <alignment horizontal="center"/>
      <protection/>
    </xf>
    <xf numFmtId="0" fontId="0" fillId="34" borderId="20" xfId="53" applyFill="1" applyBorder="1" applyAlignment="1">
      <alignment horizontal="center" vertical="top" wrapText="1"/>
      <protection/>
    </xf>
    <xf numFmtId="2" fontId="80" fillId="34" borderId="20" xfId="53" applyNumberFormat="1" applyFont="1" applyFill="1" applyBorder="1" applyAlignment="1">
      <alignment horizontal="center"/>
      <protection/>
    </xf>
    <xf numFmtId="0" fontId="88" fillId="34" borderId="20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 wrapText="1"/>
      <protection/>
    </xf>
    <xf numFmtId="0" fontId="80" fillId="34" borderId="24" xfId="53" applyFont="1" applyFill="1" applyBorder="1">
      <alignment/>
      <protection/>
    </xf>
    <xf numFmtId="0" fontId="80" fillId="34" borderId="22" xfId="53" applyFont="1" applyFill="1" applyBorder="1">
      <alignment/>
      <protection/>
    </xf>
    <xf numFmtId="0" fontId="80" fillId="34" borderId="23" xfId="53" applyFont="1" applyFill="1" applyBorder="1">
      <alignment/>
      <protection/>
    </xf>
    <xf numFmtId="2" fontId="81" fillId="0" borderId="0" xfId="53" applyNumberFormat="1" applyFont="1">
      <alignment/>
      <protection/>
    </xf>
    <xf numFmtId="0" fontId="89" fillId="34" borderId="10" xfId="53" applyFont="1" applyFill="1" applyBorder="1" applyAlignment="1">
      <alignment horizontal="center" vertical="center" wrapText="1"/>
      <protection/>
    </xf>
    <xf numFmtId="0" fontId="89" fillId="34" borderId="10" xfId="53" applyFont="1" applyFill="1" applyBorder="1" applyAlignment="1">
      <alignment horizontal="left" vertical="center" wrapText="1"/>
      <protection/>
    </xf>
    <xf numFmtId="0" fontId="84" fillId="34" borderId="10" xfId="53" applyFont="1" applyFill="1" applyBorder="1" applyAlignment="1">
      <alignment horizontal="center" vertical="center" wrapText="1"/>
      <protection/>
    </xf>
    <xf numFmtId="0" fontId="85" fillId="34" borderId="10" xfId="53" applyFont="1" applyFill="1" applyBorder="1" applyAlignment="1">
      <alignment horizontal="right" vertical="center" wrapText="1"/>
      <protection/>
    </xf>
    <xf numFmtId="0" fontId="84" fillId="0" borderId="0" xfId="53" applyFont="1" applyBorder="1" applyAlignment="1">
      <alignment horizontal="left"/>
      <protection/>
    </xf>
    <xf numFmtId="0" fontId="84" fillId="34" borderId="0" xfId="53" applyFont="1" applyFill="1" applyAlignment="1">
      <alignment horizontal="left" wrapText="1"/>
      <protection/>
    </xf>
    <xf numFmtId="0" fontId="84" fillId="34" borderId="0" xfId="53" applyFont="1" applyFill="1" applyBorder="1" applyAlignment="1">
      <alignment horizontal="left" wrapText="1"/>
      <protection/>
    </xf>
    <xf numFmtId="0" fontId="84" fillId="0" borderId="0" xfId="53" applyFont="1" applyBorder="1" applyAlignment="1">
      <alignment horizontal="left" wrapText="1"/>
      <protection/>
    </xf>
    <xf numFmtId="0" fontId="84" fillId="0" borderId="0" xfId="53" applyFont="1" applyAlignment="1">
      <alignment horizontal="left" wrapText="1"/>
      <protection/>
    </xf>
    <xf numFmtId="0" fontId="84" fillId="0" borderId="10" xfId="53" applyFont="1" applyBorder="1" applyAlignment="1">
      <alignment horizontal="left" vertical="center" wrapText="1"/>
      <protection/>
    </xf>
    <xf numFmtId="0" fontId="80" fillId="0" borderId="0" xfId="53" applyFont="1" applyBorder="1" applyAlignment="1">
      <alignment horizontal="center"/>
      <protection/>
    </xf>
    <xf numFmtId="0" fontId="84" fillId="0" borderId="0" xfId="53" applyFont="1" applyBorder="1" applyAlignment="1">
      <alignment horizontal="left" vertical="center" wrapText="1"/>
      <protection/>
    </xf>
    <xf numFmtId="0" fontId="80" fillId="0" borderId="0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80" fillId="0" borderId="20" xfId="0" applyFont="1" applyBorder="1" applyAlignment="1">
      <alignment horizontal="center"/>
    </xf>
    <xf numFmtId="4" fontId="80" fillId="0" borderId="20" xfId="0" applyNumberFormat="1" applyFont="1" applyBorder="1" applyAlignment="1">
      <alignment/>
    </xf>
    <xf numFmtId="49" fontId="80" fillId="0" borderId="20" xfId="0" applyNumberFormat="1" applyFont="1" applyBorder="1" applyAlignment="1">
      <alignment horizontal="center"/>
    </xf>
    <xf numFmtId="0" fontId="80" fillId="0" borderId="24" xfId="0" applyFont="1" applyBorder="1" applyAlignment="1">
      <alignment horizontal="left" wrapText="1"/>
    </xf>
    <xf numFmtId="0" fontId="80" fillId="0" borderId="22" xfId="0" applyFont="1" applyBorder="1" applyAlignment="1">
      <alignment horizontal="left" wrapText="1"/>
    </xf>
    <xf numFmtId="0" fontId="80" fillId="0" borderId="23" xfId="0" applyFont="1" applyBorder="1" applyAlignment="1">
      <alignment horizontal="right" wrapText="1"/>
    </xf>
    <xf numFmtId="0" fontId="8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2" fontId="23" fillId="0" borderId="20" xfId="54" applyNumberFormat="1" applyFont="1" applyBorder="1" applyAlignment="1">
      <alignment horizontal="left" vertical="center"/>
      <protection/>
    </xf>
    <xf numFmtId="2" fontId="23" fillId="0" borderId="24" xfId="54" applyNumberFormat="1" applyFont="1" applyBorder="1" applyAlignment="1">
      <alignment horizontal="left" vertical="center"/>
      <protection/>
    </xf>
    <xf numFmtId="2" fontId="81" fillId="0" borderId="27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80" fillId="0" borderId="28" xfId="53" applyFont="1" applyBorder="1" applyAlignment="1">
      <alignment horizontal="left" vertical="top" wrapText="1"/>
      <protection/>
    </xf>
    <xf numFmtId="0" fontId="80" fillId="34" borderId="20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/>
      <protection/>
    </xf>
    <xf numFmtId="0" fontId="80" fillId="34" borderId="22" xfId="53" applyFont="1" applyFill="1" applyBorder="1" applyAlignment="1">
      <alignment/>
      <protection/>
    </xf>
    <xf numFmtId="0" fontId="80" fillId="34" borderId="23" xfId="53" applyFont="1" applyFill="1" applyBorder="1" applyAlignment="1">
      <alignment/>
      <protection/>
    </xf>
    <xf numFmtId="0" fontId="80" fillId="34" borderId="24" xfId="53" applyFont="1" applyFill="1" applyBorder="1" applyAlignment="1">
      <alignment horizontal="left" vertical="top" wrapText="1"/>
      <protection/>
    </xf>
    <xf numFmtId="0" fontId="80" fillId="34" borderId="22" xfId="53" applyFont="1" applyFill="1" applyBorder="1" applyAlignment="1">
      <alignment horizontal="left" vertical="top" wrapText="1"/>
      <protection/>
    </xf>
    <xf numFmtId="0" fontId="83" fillId="34" borderId="24" xfId="53" applyFont="1" applyFill="1" applyBorder="1" applyAlignment="1">
      <alignment horizontal="center"/>
      <protection/>
    </xf>
    <xf numFmtId="0" fontId="0" fillId="34" borderId="20" xfId="53" applyFill="1" applyBorder="1" applyAlignment="1">
      <alignment horizontal="center"/>
      <protection/>
    </xf>
    <xf numFmtId="0" fontId="80" fillId="34" borderId="23" xfId="53" applyFont="1" applyFill="1" applyBorder="1" applyAlignment="1">
      <alignment horizontal="left" vertical="top" wrapText="1"/>
      <protection/>
    </xf>
    <xf numFmtId="0" fontId="80" fillId="0" borderId="20" xfId="53" applyFont="1" applyBorder="1" applyAlignment="1">
      <alignment horizontal="center" vertical="center" wrapText="1"/>
      <protection/>
    </xf>
    <xf numFmtId="0" fontId="80" fillId="0" borderId="20" xfId="53" applyFont="1" applyBorder="1" applyAlignment="1">
      <alignment horizontal="center"/>
      <protection/>
    </xf>
    <xf numFmtId="0" fontId="80" fillId="0" borderId="20" xfId="53" applyFont="1" applyBorder="1" applyAlignment="1">
      <alignment horizontal="right"/>
      <protection/>
    </xf>
    <xf numFmtId="0" fontId="79" fillId="0" borderId="10" xfId="53" applyFont="1" applyBorder="1" applyAlignment="1">
      <alignment horizontal="center"/>
      <protection/>
    </xf>
    <xf numFmtId="0" fontId="80" fillId="0" borderId="24" xfId="53" applyFont="1" applyBorder="1" applyAlignment="1">
      <alignment horizontal="left" vertical="top" wrapText="1"/>
      <protection/>
    </xf>
    <xf numFmtId="0" fontId="80" fillId="0" borderId="23" xfId="53" applyFont="1" applyBorder="1" applyAlignment="1">
      <alignment horizontal="left" vertical="top" wrapText="1"/>
      <protection/>
    </xf>
    <xf numFmtId="2" fontId="81" fillId="34" borderId="0" xfId="0" applyNumberFormat="1" applyFont="1" applyFill="1" applyAlignment="1">
      <alignment/>
    </xf>
    <xf numFmtId="4" fontId="82" fillId="0" borderId="0" xfId="53" applyNumberFormat="1" applyFont="1">
      <alignment/>
      <protection/>
    </xf>
    <xf numFmtId="2" fontId="81" fillId="34" borderId="0" xfId="53" applyNumberFormat="1" applyFont="1" applyFill="1">
      <alignment/>
      <protection/>
    </xf>
    <xf numFmtId="0" fontId="80" fillId="0" borderId="20" xfId="53" applyFont="1" applyBorder="1" applyAlignment="1">
      <alignment horizontal="center"/>
      <protection/>
    </xf>
    <xf numFmtId="0" fontId="80" fillId="0" borderId="20" xfId="53" applyFont="1" applyBorder="1" applyAlignment="1">
      <alignment horizontal="center" vertical="center" wrapText="1"/>
      <protection/>
    </xf>
    <xf numFmtId="0" fontId="80" fillId="0" borderId="20" xfId="53" applyFont="1" applyBorder="1" applyAlignment="1">
      <alignment horizontal="center"/>
      <protection/>
    </xf>
    <xf numFmtId="0" fontId="79" fillId="0" borderId="10" xfId="53" applyFont="1" applyBorder="1" applyAlignment="1">
      <alignment horizontal="center"/>
      <protection/>
    </xf>
    <xf numFmtId="0" fontId="80" fillId="0" borderId="20" xfId="53" applyFont="1" applyBorder="1" applyAlignment="1">
      <alignment horizontal="right"/>
      <protection/>
    </xf>
    <xf numFmtId="4" fontId="82" fillId="0" borderId="27" xfId="53" applyNumberFormat="1" applyFont="1" applyFill="1" applyBorder="1" applyAlignment="1">
      <alignment horizontal="center"/>
      <protection/>
    </xf>
    <xf numFmtId="0" fontId="81" fillId="0" borderId="27" xfId="0" applyFont="1" applyBorder="1" applyAlignment="1">
      <alignment/>
    </xf>
    <xf numFmtId="4" fontId="89" fillId="0" borderId="0" xfId="53" applyNumberFormat="1" applyFont="1" applyBorder="1" applyAlignment="1">
      <alignment horizontal="left" vertical="center" wrapText="1"/>
      <protection/>
    </xf>
    <xf numFmtId="0" fontId="80" fillId="34" borderId="20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/>
      <protection/>
    </xf>
    <xf numFmtId="0" fontId="80" fillId="34" borderId="22" xfId="53" applyFont="1" applyFill="1" applyBorder="1" applyAlignment="1">
      <alignment/>
      <protection/>
    </xf>
    <xf numFmtId="0" fontId="80" fillId="34" borderId="23" xfId="53" applyFont="1" applyFill="1" applyBorder="1" applyAlignment="1">
      <alignment/>
      <protection/>
    </xf>
    <xf numFmtId="0" fontId="88" fillId="34" borderId="24" xfId="53" applyFont="1" applyFill="1" applyBorder="1" applyAlignment="1">
      <alignment horizontal="center"/>
      <protection/>
    </xf>
    <xf numFmtId="4" fontId="82" fillId="0" borderId="27" xfId="0" applyNumberFormat="1" applyFont="1" applyBorder="1" applyAlignment="1">
      <alignment/>
    </xf>
    <xf numFmtId="4" fontId="81" fillId="0" borderId="0" xfId="0" applyNumberFormat="1" applyFont="1" applyAlignment="1">
      <alignment/>
    </xf>
    <xf numFmtId="4" fontId="81" fillId="0" borderId="0" xfId="53" applyNumberFormat="1" applyFont="1" applyAlignment="1">
      <alignment/>
      <protection/>
    </xf>
    <xf numFmtId="0" fontId="1" fillId="34" borderId="20" xfId="53" applyFont="1" applyFill="1" applyBorder="1" applyAlignment="1">
      <alignment horizontal="center"/>
      <protection/>
    </xf>
    <xf numFmtId="4" fontId="81" fillId="0" borderId="0" xfId="53" applyNumberFormat="1" applyFont="1" applyBorder="1">
      <alignment/>
      <protection/>
    </xf>
    <xf numFmtId="2" fontId="82" fillId="34" borderId="21" xfId="53" applyNumberFormat="1" applyFont="1" applyFill="1" applyBorder="1" applyAlignment="1">
      <alignment horizontal="center"/>
      <protection/>
    </xf>
    <xf numFmtId="2" fontId="82" fillId="34" borderId="0" xfId="53" applyNumberFormat="1" applyFont="1" applyFill="1" applyBorder="1" applyAlignment="1">
      <alignment horizontal="center"/>
      <protection/>
    </xf>
    <xf numFmtId="0" fontId="0" fillId="34" borderId="0" xfId="53" applyFill="1">
      <alignment/>
      <protection/>
    </xf>
    <xf numFmtId="0" fontId="0" fillId="34" borderId="0" xfId="53" applyFont="1" applyFill="1" applyBorder="1">
      <alignment/>
      <protection/>
    </xf>
    <xf numFmtId="4" fontId="0" fillId="34" borderId="0" xfId="53" applyNumberFormat="1" applyFont="1" applyFill="1" applyBorder="1">
      <alignment/>
      <protection/>
    </xf>
    <xf numFmtId="4" fontId="0" fillId="0" borderId="0" xfId="53" applyNumberFormat="1" applyAlignment="1">
      <alignment/>
      <protection/>
    </xf>
    <xf numFmtId="0" fontId="5" fillId="0" borderId="0" xfId="53" applyFont="1" applyAlignment="1">
      <alignment horizontal="center"/>
      <protection/>
    </xf>
    <xf numFmtId="4" fontId="81" fillId="34" borderId="0" xfId="53" applyNumberFormat="1" applyFont="1" applyFill="1" applyBorder="1">
      <alignment/>
      <protection/>
    </xf>
    <xf numFmtId="4" fontId="81" fillId="34" borderId="0" xfId="53" applyNumberFormat="1" applyFont="1" applyFill="1" applyBorder="1" applyAlignment="1">
      <alignment horizontal="left"/>
      <protection/>
    </xf>
    <xf numFmtId="0" fontId="80" fillId="0" borderId="20" xfId="53" applyFont="1" applyBorder="1" applyAlignment="1">
      <alignment horizontal="center"/>
      <protection/>
    </xf>
    <xf numFmtId="0" fontId="80" fillId="0" borderId="24" xfId="53" applyFont="1" applyBorder="1" applyAlignment="1">
      <alignment horizontal="left" vertical="top" wrapText="1"/>
      <protection/>
    </xf>
    <xf numFmtId="0" fontId="80" fillId="0" borderId="22" xfId="53" applyFont="1" applyBorder="1" applyAlignment="1">
      <alignment horizontal="left" vertical="top" wrapText="1"/>
      <protection/>
    </xf>
    <xf numFmtId="0" fontId="0" fillId="0" borderId="27" xfId="0" applyFont="1" applyBorder="1" applyAlignment="1">
      <alignment/>
    </xf>
    <xf numFmtId="0" fontId="5" fillId="0" borderId="20" xfId="56" applyFont="1" applyBorder="1" applyAlignment="1">
      <alignment horizontal="left" vertical="top" wrapText="1"/>
      <protection/>
    </xf>
    <xf numFmtId="0" fontId="90" fillId="0" borderId="0" xfId="53" applyFont="1">
      <alignment/>
      <protection/>
    </xf>
    <xf numFmtId="0" fontId="81" fillId="34" borderId="0" xfId="53" applyFont="1" applyFill="1" applyBorder="1" applyAlignment="1">
      <alignment/>
      <protection/>
    </xf>
    <xf numFmtId="0" fontId="82" fillId="0" borderId="25" xfId="53" applyFont="1" applyFill="1" applyBorder="1" applyAlignment="1">
      <alignment horizontal="center"/>
      <protection/>
    </xf>
    <xf numFmtId="0" fontId="0" fillId="35" borderId="0" xfId="53" applyFont="1" applyFill="1">
      <alignment/>
      <protection/>
    </xf>
    <xf numFmtId="0" fontId="80" fillId="0" borderId="20" xfId="53" applyFont="1" applyBorder="1" applyAlignment="1">
      <alignment horizontal="center" vertical="center" wrapText="1"/>
      <protection/>
    </xf>
    <xf numFmtId="0" fontId="80" fillId="0" borderId="20" xfId="53" applyFont="1" applyBorder="1" applyAlignment="1">
      <alignment horizontal="center"/>
      <protection/>
    </xf>
    <xf numFmtId="0" fontId="79" fillId="0" borderId="0" xfId="53" applyFont="1" applyBorder="1" applyAlignment="1">
      <alignment horizontal="center"/>
      <protection/>
    </xf>
    <xf numFmtId="0" fontId="80" fillId="0" borderId="24" xfId="53" applyFont="1" applyBorder="1" applyAlignment="1">
      <alignment horizontal="center" vertical="center" wrapText="1"/>
      <protection/>
    </xf>
    <xf numFmtId="0" fontId="80" fillId="0" borderId="24" xfId="53" applyFont="1" applyBorder="1" applyAlignment="1">
      <alignment horizontal="center"/>
      <protection/>
    </xf>
    <xf numFmtId="0" fontId="84" fillId="0" borderId="0" xfId="53" applyFont="1" applyBorder="1" applyAlignment="1">
      <alignment horizontal="left" vertical="center" wrapText="1"/>
      <protection/>
    </xf>
    <xf numFmtId="0" fontId="84" fillId="34" borderId="0" xfId="53" applyFont="1" applyFill="1" applyAlignment="1">
      <alignment horizontal="left" wrapText="1"/>
      <protection/>
    </xf>
    <xf numFmtId="0" fontId="89" fillId="34" borderId="10" xfId="53" applyFont="1" applyFill="1" applyBorder="1" applyAlignment="1">
      <alignment horizontal="center" vertical="center" wrapText="1"/>
      <protection/>
    </xf>
    <xf numFmtId="0" fontId="89" fillId="34" borderId="10" xfId="53" applyFont="1" applyFill="1" applyBorder="1" applyAlignment="1">
      <alignment horizontal="left" vertical="center" wrapText="1"/>
      <protection/>
    </xf>
    <xf numFmtId="0" fontId="88" fillId="34" borderId="20" xfId="53" applyFont="1" applyFill="1" applyBorder="1" applyAlignment="1">
      <alignment horizontal="center"/>
      <protection/>
    </xf>
    <xf numFmtId="0" fontId="80" fillId="34" borderId="20" xfId="53" applyFont="1" applyFill="1" applyBorder="1" applyAlignment="1">
      <alignment horizontal="center"/>
      <protection/>
    </xf>
    <xf numFmtId="0" fontId="84" fillId="34" borderId="28" xfId="53" applyFont="1" applyFill="1" applyBorder="1" applyAlignment="1">
      <alignment horizontal="center" textRotation="90" wrapText="1"/>
      <protection/>
    </xf>
    <xf numFmtId="0" fontId="80" fillId="34" borderId="0" xfId="53" applyFont="1" applyFill="1" applyBorder="1">
      <alignment/>
      <protection/>
    </xf>
    <xf numFmtId="0" fontId="80" fillId="34" borderId="0" xfId="53" applyFont="1" applyFill="1" applyBorder="1" applyAlignment="1">
      <alignment horizontal="right"/>
      <protection/>
    </xf>
    <xf numFmtId="0" fontId="80" fillId="34" borderId="0" xfId="53" applyFont="1" applyFill="1" applyBorder="1" applyAlignment="1">
      <alignment horizontal="center"/>
      <protection/>
    </xf>
    <xf numFmtId="2" fontId="80" fillId="34" borderId="0" xfId="53" applyNumberFormat="1" applyFont="1" applyFill="1" applyBorder="1" applyAlignment="1">
      <alignment horizontal="center"/>
      <protection/>
    </xf>
    <xf numFmtId="0" fontId="80" fillId="34" borderId="21" xfId="53" applyFont="1" applyFill="1" applyBorder="1" applyAlignment="1">
      <alignment horizontal="right"/>
      <protection/>
    </xf>
    <xf numFmtId="0" fontId="80" fillId="34" borderId="21" xfId="53" applyFont="1" applyFill="1" applyBorder="1" applyAlignment="1">
      <alignment horizontal="center"/>
      <protection/>
    </xf>
    <xf numFmtId="0" fontId="89" fillId="34" borderId="0" xfId="53" applyFont="1" applyFill="1" applyBorder="1" applyAlignment="1">
      <alignment horizontal="center" vertical="center" wrapText="1"/>
      <protection/>
    </xf>
    <xf numFmtId="0" fontId="89" fillId="34" borderId="0" xfId="53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49" fontId="0" fillId="34" borderId="10" xfId="0" applyNumberFormat="1" applyFon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34" borderId="0" xfId="0" applyFill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49" fontId="2" fillId="0" borderId="20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31" xfId="0" applyFont="1" applyBorder="1" applyAlignment="1">
      <alignment horizontal="left" vertical="center" wrapText="1" indent="3"/>
    </xf>
    <xf numFmtId="0" fontId="2" fillId="0" borderId="33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2"/>
    </xf>
    <xf numFmtId="4" fontId="0" fillId="0" borderId="3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49" fontId="2" fillId="0" borderId="3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top" wrapText="1" indent="2"/>
    </xf>
    <xf numFmtId="0" fontId="2" fillId="0" borderId="34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3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 horizontal="center"/>
    </xf>
    <xf numFmtId="4" fontId="0" fillId="34" borderId="21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 horizontal="center"/>
    </xf>
    <xf numFmtId="4" fontId="0" fillId="34" borderId="37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34" borderId="39" xfId="0" applyNumberFormat="1" applyFont="1" applyFill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1" fillId="34" borderId="21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0" fillId="34" borderId="21" xfId="0" applyFill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0" borderId="32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/>
    </xf>
    <xf numFmtId="49" fontId="0" fillId="34" borderId="41" xfId="0" applyNumberFormat="1" applyFill="1" applyBorder="1" applyAlignment="1">
      <alignment horizontal="center"/>
    </xf>
    <xf numFmtId="49" fontId="0" fillId="34" borderId="42" xfId="0" applyNumberForma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3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0" fillId="0" borderId="4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3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3" xfId="0" applyFont="1" applyFill="1" applyBorder="1" applyAlignment="1">
      <alignment horizontal="right" indent="1"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48" xfId="0" applyFont="1" applyBorder="1" applyAlignment="1">
      <alignment horizontal="left" vertical="center" indent="2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" fontId="2" fillId="0" borderId="4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left" vertical="center" indent="1" shrinkToFit="1"/>
    </xf>
    <xf numFmtId="4" fontId="0" fillId="34" borderId="24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 horizontal="center"/>
    </xf>
    <xf numFmtId="4" fontId="0" fillId="34" borderId="2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49" fontId="2" fillId="0" borderId="37" xfId="0" applyNumberFormat="1" applyFont="1" applyBorder="1" applyAlignment="1">
      <alignment horizontal="center"/>
    </xf>
    <xf numFmtId="0" fontId="2" fillId="0" borderId="3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indent="2" shrinkToFit="1"/>
    </xf>
    <xf numFmtId="0" fontId="2" fillId="0" borderId="34" xfId="0" applyFont="1" applyBorder="1" applyAlignment="1">
      <alignment horizontal="left" vertical="center" indent="2" shrinkToFit="1"/>
    </xf>
    <xf numFmtId="0" fontId="2" fillId="0" borderId="22" xfId="0" applyFont="1" applyBorder="1" applyAlignment="1">
      <alignment horizontal="left" wrapText="1" indent="1"/>
    </xf>
    <xf numFmtId="0" fontId="2" fillId="0" borderId="34" xfId="0" applyFont="1" applyBorder="1" applyAlignment="1">
      <alignment horizontal="left" wrapText="1" indent="1"/>
    </xf>
    <xf numFmtId="0" fontId="2" fillId="0" borderId="48" xfId="0" applyFont="1" applyBorder="1" applyAlignment="1">
      <alignment horizontal="left" vertical="center" wrapText="1" indent="2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0" fontId="17" fillId="0" borderId="5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 vertical="top"/>
    </xf>
    <xf numFmtId="49" fontId="0" fillId="0" borderId="52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13" fillId="0" borderId="10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1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 indent="1"/>
    </xf>
    <xf numFmtId="0" fontId="13" fillId="0" borderId="20" xfId="0" applyFont="1" applyBorder="1" applyAlignment="1">
      <alignment horizontal="left" indent="1"/>
    </xf>
    <xf numFmtId="0" fontId="13" fillId="0" borderId="24" xfId="0" applyFont="1" applyBorder="1" applyAlignment="1">
      <alignment horizontal="left" indent="1"/>
    </xf>
    <xf numFmtId="0" fontId="13" fillId="0" borderId="32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 wrapText="1" indent="1"/>
    </xf>
    <xf numFmtId="0" fontId="13" fillId="0" borderId="22" xfId="0" applyFont="1" applyBorder="1" applyAlignment="1">
      <alignment horizontal="left" wrapText="1" indent="1"/>
    </xf>
    <xf numFmtId="49" fontId="13" fillId="0" borderId="28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wrapText="1" indent="1"/>
    </xf>
    <xf numFmtId="0" fontId="13" fillId="0" borderId="23" xfId="0" applyFont="1" applyBorder="1" applyAlignment="1">
      <alignment horizontal="left" wrapText="1" indent="2"/>
    </xf>
    <xf numFmtId="0" fontId="13" fillId="0" borderId="20" xfId="0" applyFont="1" applyBorder="1" applyAlignment="1">
      <alignment horizontal="left" indent="2"/>
    </xf>
    <xf numFmtId="0" fontId="13" fillId="0" borderId="24" xfId="0" applyFont="1" applyBorder="1" applyAlignment="1">
      <alignment horizontal="left" indent="2"/>
    </xf>
    <xf numFmtId="0" fontId="13" fillId="0" borderId="23" xfId="0" applyFont="1" applyBorder="1" applyAlignment="1">
      <alignment horizontal="left" wrapText="1" indent="3"/>
    </xf>
    <xf numFmtId="0" fontId="13" fillId="0" borderId="20" xfId="0" applyFont="1" applyBorder="1" applyAlignment="1">
      <alignment horizontal="left" indent="3"/>
    </xf>
    <xf numFmtId="0" fontId="13" fillId="0" borderId="24" xfId="0" applyFont="1" applyBorder="1" applyAlignment="1">
      <alignment horizontal="left" indent="3"/>
    </xf>
    <xf numFmtId="0" fontId="13" fillId="0" borderId="23" xfId="0" applyFont="1" applyBorder="1" applyAlignment="1">
      <alignment horizontal="left" indent="3"/>
    </xf>
    <xf numFmtId="49" fontId="5" fillId="0" borderId="24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shrinkToFit="1"/>
    </xf>
    <xf numFmtId="49" fontId="5" fillId="0" borderId="23" xfId="0" applyNumberFormat="1" applyFont="1" applyBorder="1" applyAlignment="1">
      <alignment horizontal="center" shrinkToFit="1"/>
    </xf>
    <xf numFmtId="0" fontId="13" fillId="0" borderId="20" xfId="0" applyFont="1" applyBorder="1" applyAlignment="1">
      <alignment horizontal="left" wrapText="1" indent="2"/>
    </xf>
    <xf numFmtId="0" fontId="13" fillId="0" borderId="24" xfId="0" applyFont="1" applyBorder="1" applyAlignment="1">
      <alignment horizontal="left" wrapText="1" indent="2"/>
    </xf>
    <xf numFmtId="0" fontId="13" fillId="0" borderId="20" xfId="0" applyFont="1" applyBorder="1" applyAlignment="1">
      <alignment horizontal="left" wrapText="1" indent="3"/>
    </xf>
    <xf numFmtId="0" fontId="13" fillId="0" borderId="22" xfId="0" applyFont="1" applyBorder="1" applyAlignment="1">
      <alignment horizontal="left" wrapText="1" indent="2"/>
    </xf>
    <xf numFmtId="4" fontId="5" fillId="0" borderId="28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9" xfId="0" applyFont="1" applyBorder="1" applyAlignment="1">
      <alignment horizontal="left" wrapText="1" indent="3"/>
    </xf>
    <xf numFmtId="0" fontId="13" fillId="0" borderId="26" xfId="0" applyFont="1" applyBorder="1" applyAlignment="1">
      <alignment horizontal="left" indent="3"/>
    </xf>
    <xf numFmtId="0" fontId="13" fillId="0" borderId="37" xfId="0" applyFont="1" applyBorder="1" applyAlignment="1">
      <alignment horizontal="left" indent="3"/>
    </xf>
    <xf numFmtId="0" fontId="13" fillId="0" borderId="5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58" xfId="0" applyNumberFormat="1" applyFont="1" applyBorder="1" applyAlignment="1">
      <alignment horizontal="center"/>
    </xf>
    <xf numFmtId="0" fontId="13" fillId="0" borderId="39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 indent="4"/>
    </xf>
    <xf numFmtId="0" fontId="13" fillId="0" borderId="20" xfId="0" applyFont="1" applyBorder="1" applyAlignment="1">
      <alignment horizontal="left" wrapText="1" indent="4"/>
    </xf>
    <xf numFmtId="0" fontId="13" fillId="0" borderId="24" xfId="0" applyFont="1" applyBorder="1" applyAlignment="1">
      <alignment horizontal="left" wrapText="1" indent="4"/>
    </xf>
    <xf numFmtId="4" fontId="13" fillId="0" borderId="20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 shrinkToFit="1"/>
    </xf>
    <xf numFmtId="49" fontId="13" fillId="0" borderId="22" xfId="0" applyNumberFormat="1" applyFont="1" applyBorder="1" applyAlignment="1">
      <alignment horizontal="center" shrinkToFit="1"/>
    </xf>
    <xf numFmtId="49" fontId="13" fillId="0" borderId="23" xfId="0" applyNumberFormat="1" applyFont="1" applyBorder="1" applyAlignment="1">
      <alignment horizontal="center" shrinkToFit="1"/>
    </xf>
    <xf numFmtId="4" fontId="13" fillId="0" borderId="29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4" fontId="13" fillId="0" borderId="59" xfId="0" applyNumberFormat="1" applyFont="1" applyBorder="1" applyAlignment="1">
      <alignment horizontal="center"/>
    </xf>
    <xf numFmtId="4" fontId="13" fillId="0" borderId="60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49" fontId="5" fillId="0" borderId="39" xfId="0" applyNumberFormat="1" applyFont="1" applyBorder="1" applyAlignment="1">
      <alignment horizontal="center" shrinkToFit="1"/>
    </xf>
    <xf numFmtId="0" fontId="13" fillId="0" borderId="31" xfId="0" applyFont="1" applyBorder="1" applyAlignment="1">
      <alignment horizontal="left" wrapText="1" indent="2"/>
    </xf>
    <xf numFmtId="0" fontId="13" fillId="0" borderId="21" xfId="0" applyFont="1" applyBorder="1" applyAlignment="1">
      <alignment horizontal="left" wrapText="1" indent="2"/>
    </xf>
    <xf numFmtId="0" fontId="13" fillId="0" borderId="62" xfId="0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37" xfId="0" applyFont="1" applyBorder="1" applyAlignment="1">
      <alignment horizontal="left" wrapText="1" indent="2"/>
    </xf>
    <xf numFmtId="0" fontId="13" fillId="0" borderId="10" xfId="0" applyFont="1" applyBorder="1" applyAlignment="1">
      <alignment horizontal="left" wrapText="1" indent="2"/>
    </xf>
    <xf numFmtId="4" fontId="5" fillId="0" borderId="63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wrapText="1" indent="4"/>
    </xf>
    <xf numFmtId="0" fontId="13" fillId="0" borderId="21" xfId="0" applyFont="1" applyBorder="1" applyAlignment="1">
      <alignment horizontal="left" wrapText="1" indent="4"/>
    </xf>
    <xf numFmtId="49" fontId="0" fillId="0" borderId="0" xfId="0" applyNumberFormat="1" applyFont="1" applyAlignment="1">
      <alignment horizontal="center"/>
    </xf>
    <xf numFmtId="49" fontId="5" fillId="0" borderId="64" xfId="0" applyNumberFormat="1" applyFont="1" applyBorder="1" applyAlignment="1">
      <alignment horizontal="center" shrinkToFit="1"/>
    </xf>
    <xf numFmtId="49" fontId="5" fillId="0" borderId="65" xfId="0" applyNumberFormat="1" applyFont="1" applyBorder="1" applyAlignment="1">
      <alignment horizontal="center" shrinkToFit="1"/>
    </xf>
    <xf numFmtId="49" fontId="5" fillId="0" borderId="66" xfId="0" applyNumberFormat="1" applyFont="1" applyBorder="1" applyAlignment="1">
      <alignment horizontal="center" shrinkToFit="1"/>
    </xf>
    <xf numFmtId="49" fontId="5" fillId="0" borderId="67" xfId="0" applyNumberFormat="1" applyFont="1" applyBorder="1" applyAlignment="1">
      <alignment horizontal="center" shrinkToFit="1"/>
    </xf>
    <xf numFmtId="49" fontId="5" fillId="0" borderId="68" xfId="0" applyNumberFormat="1" applyFont="1" applyBorder="1" applyAlignment="1">
      <alignment horizontal="center" shrinkToFit="1"/>
    </xf>
    <xf numFmtId="49" fontId="5" fillId="0" borderId="69" xfId="0" applyNumberFormat="1" applyFont="1" applyBorder="1" applyAlignment="1">
      <alignment horizontal="center" shrinkToFit="1"/>
    </xf>
    <xf numFmtId="49" fontId="5" fillId="0" borderId="31" xfId="0" applyNumberFormat="1" applyFont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 shrinkToFit="1"/>
    </xf>
    <xf numFmtId="49" fontId="5" fillId="0" borderId="30" xfId="0" applyNumberFormat="1" applyFont="1" applyBorder="1" applyAlignment="1">
      <alignment horizontal="center" shrinkToFit="1"/>
    </xf>
    <xf numFmtId="49" fontId="13" fillId="0" borderId="55" xfId="0" applyNumberFormat="1" applyFont="1" applyBorder="1" applyAlignment="1">
      <alignment horizontal="center" shrinkToFit="1"/>
    </xf>
    <xf numFmtId="49" fontId="13" fillId="0" borderId="46" xfId="0" applyNumberFormat="1" applyFont="1" applyBorder="1" applyAlignment="1">
      <alignment horizontal="center" shrinkToFit="1"/>
    </xf>
    <xf numFmtId="49" fontId="13" fillId="0" borderId="56" xfId="0" applyNumberFormat="1" applyFont="1" applyBorder="1" applyAlignment="1">
      <alignment horizontal="center" shrinkToFit="1"/>
    </xf>
    <xf numFmtId="0" fontId="5" fillId="0" borderId="21" xfId="53" applyFont="1" applyBorder="1" applyAlignment="1">
      <alignment horizontal="left" vertical="top"/>
      <protection/>
    </xf>
    <xf numFmtId="0" fontId="0" fillId="0" borderId="21" xfId="53" applyFont="1" applyBorder="1" applyAlignment="1">
      <alignment horizontal="left" vertical="top"/>
      <protection/>
    </xf>
    <xf numFmtId="0" fontId="79" fillId="0" borderId="0" xfId="53" applyFont="1" applyAlignment="1">
      <alignment horizontal="center"/>
      <protection/>
    </xf>
    <xf numFmtId="0" fontId="79" fillId="0" borderId="0" xfId="53" applyFont="1" applyBorder="1" applyAlignment="1">
      <alignment horizontal="center"/>
      <protection/>
    </xf>
    <xf numFmtId="0" fontId="79" fillId="0" borderId="0" xfId="53" applyFont="1" applyBorder="1" applyAlignment="1">
      <alignment horizontal="left" wrapText="1"/>
      <protection/>
    </xf>
    <xf numFmtId="0" fontId="79" fillId="0" borderId="0" xfId="53" applyFont="1" applyBorder="1" applyAlignment="1">
      <alignment horizontal="left"/>
      <protection/>
    </xf>
    <xf numFmtId="0" fontId="80" fillId="0" borderId="20" xfId="53" applyFont="1" applyBorder="1" applyAlignment="1">
      <alignment horizontal="center" vertical="center" wrapText="1"/>
      <protection/>
    </xf>
    <xf numFmtId="0" fontId="80" fillId="0" borderId="24" xfId="53" applyFont="1" applyBorder="1" applyAlignment="1">
      <alignment horizontal="center" wrapText="1"/>
      <protection/>
    </xf>
    <xf numFmtId="0" fontId="80" fillId="0" borderId="22" xfId="53" applyFont="1" applyBorder="1" applyAlignment="1">
      <alignment horizontal="center" wrapText="1"/>
      <protection/>
    </xf>
    <xf numFmtId="0" fontId="80" fillId="0" borderId="23" xfId="53" applyFont="1" applyBorder="1" applyAlignment="1">
      <alignment horizontal="center" wrapText="1"/>
      <protection/>
    </xf>
    <xf numFmtId="0" fontId="80" fillId="0" borderId="20" xfId="53" applyFont="1" applyBorder="1" applyAlignment="1">
      <alignment horizontal="center" wrapText="1"/>
      <protection/>
    </xf>
    <xf numFmtId="0" fontId="80" fillId="0" borderId="20" xfId="53" applyFont="1" applyBorder="1" applyAlignment="1">
      <alignment horizontal="center"/>
      <protection/>
    </xf>
    <xf numFmtId="0" fontId="80" fillId="0" borderId="28" xfId="53" applyFont="1" applyBorder="1" applyAlignment="1">
      <alignment horizontal="center" vertical="center" wrapText="1"/>
      <protection/>
    </xf>
    <xf numFmtId="0" fontId="80" fillId="0" borderId="25" xfId="53" applyFont="1" applyBorder="1" applyAlignment="1">
      <alignment horizontal="center" vertical="center" wrapText="1"/>
      <protection/>
    </xf>
    <xf numFmtId="0" fontId="80" fillId="0" borderId="26" xfId="53" applyFont="1" applyBorder="1" applyAlignment="1">
      <alignment horizontal="center" vertical="center" wrapText="1"/>
      <protection/>
    </xf>
    <xf numFmtId="0" fontId="23" fillId="0" borderId="20" xfId="54" applyNumberFormat="1" applyFont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23" fillId="0" borderId="20" xfId="5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2" fontId="23" fillId="0" borderId="20" xfId="54" applyNumberFormat="1" applyFont="1" applyBorder="1" applyAlignment="1">
      <alignment horizontal="center" vertical="center"/>
      <protection/>
    </xf>
    <xf numFmtId="49" fontId="23" fillId="0" borderId="24" xfId="54" applyNumberFormat="1" applyFont="1" applyBorder="1" applyAlignment="1">
      <alignment horizontal="right" vertical="center"/>
      <protection/>
    </xf>
    <xf numFmtId="49" fontId="23" fillId="0" borderId="22" xfId="54" applyNumberFormat="1" applyFont="1" applyBorder="1" applyAlignment="1">
      <alignment horizontal="right" vertical="center"/>
      <protection/>
    </xf>
    <xf numFmtId="49" fontId="23" fillId="0" borderId="23" xfId="54" applyNumberFormat="1" applyFont="1" applyBorder="1" applyAlignment="1">
      <alignment horizontal="right" vertical="center"/>
      <protection/>
    </xf>
    <xf numFmtId="0" fontId="23" fillId="0" borderId="24" xfId="54" applyNumberFormat="1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2" fontId="23" fillId="0" borderId="20" xfId="54" applyNumberFormat="1" applyFont="1" applyBorder="1" applyAlignment="1">
      <alignment horizontal="left" vertical="center"/>
      <protection/>
    </xf>
    <xf numFmtId="49" fontId="23" fillId="0" borderId="20" xfId="54" applyNumberFormat="1" applyFont="1" applyBorder="1" applyAlignment="1">
      <alignment horizontal="center" vertical="center"/>
      <protection/>
    </xf>
    <xf numFmtId="0" fontId="23" fillId="0" borderId="20" xfId="54" applyNumberFormat="1" applyFont="1" applyBorder="1" applyAlignment="1">
      <alignment horizontal="left" vertical="center" wrapText="1"/>
      <protection/>
    </xf>
    <xf numFmtId="0" fontId="0" fillId="0" borderId="20" xfId="54" applyNumberFormat="1" applyFont="1" applyBorder="1" applyAlignment="1">
      <alignment horizontal="center" vertical="top"/>
      <protection/>
    </xf>
    <xf numFmtId="0" fontId="0" fillId="0" borderId="31" xfId="54" applyNumberFormat="1" applyFont="1" applyBorder="1" applyAlignment="1">
      <alignment horizontal="center" vertical="center" wrapText="1"/>
      <protection/>
    </xf>
    <xf numFmtId="0" fontId="0" fillId="0" borderId="27" xfId="54" applyNumberFormat="1" applyFont="1" applyBorder="1" applyAlignment="1">
      <alignment horizontal="center" vertical="center" wrapText="1"/>
      <protection/>
    </xf>
    <xf numFmtId="0" fontId="0" fillId="0" borderId="37" xfId="54" applyNumberFormat="1" applyFont="1" applyBorder="1" applyAlignment="1">
      <alignment horizontal="center" vertical="center" wrapText="1"/>
      <protection/>
    </xf>
    <xf numFmtId="0" fontId="0" fillId="0" borderId="21" xfId="54" applyNumberFormat="1" applyFont="1" applyBorder="1" applyAlignment="1">
      <alignment horizontal="center" vertical="center" wrapText="1"/>
      <protection/>
    </xf>
    <xf numFmtId="0" fontId="0" fillId="0" borderId="30" xfId="54" applyNumberFormat="1" applyFont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 wrapText="1"/>
      <protection/>
    </xf>
    <xf numFmtId="0" fontId="0" fillId="0" borderId="39" xfId="54" applyNumberFormat="1" applyFont="1" applyBorder="1" applyAlignment="1">
      <alignment horizontal="center" vertical="center" wrapText="1"/>
      <protection/>
    </xf>
    <xf numFmtId="0" fontId="0" fillId="0" borderId="24" xfId="54" applyNumberFormat="1" applyFont="1" applyBorder="1" applyAlignment="1">
      <alignment horizontal="center" vertical="center" wrapText="1"/>
      <protection/>
    </xf>
    <xf numFmtId="0" fontId="0" fillId="0" borderId="22" xfId="54" applyNumberFormat="1" applyFont="1" applyBorder="1" applyAlignment="1">
      <alignment horizontal="center" vertical="center" wrapText="1"/>
      <protection/>
    </xf>
    <xf numFmtId="0" fontId="0" fillId="0" borderId="23" xfId="54" applyNumberFormat="1" applyFont="1" applyBorder="1" applyAlignment="1">
      <alignment horizontal="center" vertical="center" wrapText="1"/>
      <protection/>
    </xf>
    <xf numFmtId="0" fontId="0" fillId="0" borderId="20" xfId="54" applyNumberFormat="1" applyFont="1" applyBorder="1" applyAlignment="1">
      <alignment horizontal="center" vertical="center" wrapText="1"/>
      <protection/>
    </xf>
    <xf numFmtId="0" fontId="0" fillId="0" borderId="0" xfId="54" applyNumberFormat="1" applyFont="1" applyBorder="1" applyAlignment="1">
      <alignment horizontal="center" vertical="center" wrapText="1"/>
      <protection/>
    </xf>
    <xf numFmtId="0" fontId="0" fillId="0" borderId="33" xfId="54" applyNumberFormat="1" applyFont="1" applyBorder="1" applyAlignment="1">
      <alignment horizontal="center" vertical="center" wrapText="1"/>
      <protection/>
    </xf>
    <xf numFmtId="0" fontId="25" fillId="0" borderId="0" xfId="54" applyNumberFormat="1" applyFont="1" applyBorder="1" applyAlignment="1">
      <alignment horizontal="center" wrapText="1"/>
      <protection/>
    </xf>
    <xf numFmtId="0" fontId="4" fillId="0" borderId="0" xfId="54" applyNumberFormat="1" applyFont="1" applyBorder="1" applyAlignment="1">
      <alignment horizontal="center"/>
      <protection/>
    </xf>
    <xf numFmtId="49" fontId="4" fillId="0" borderId="10" xfId="54" applyNumberFormat="1" applyFont="1" applyBorder="1" applyAlignment="1">
      <alignment horizontal="left"/>
      <protection/>
    </xf>
    <xf numFmtId="0" fontId="5" fillId="0" borderId="0" xfId="54" applyNumberFormat="1" applyFont="1" applyBorder="1" applyAlignment="1">
      <alignment horizontal="left"/>
      <protection/>
    </xf>
    <xf numFmtId="0" fontId="27" fillId="0" borderId="0" xfId="54" applyFont="1" applyFill="1" applyBorder="1" applyAlignment="1">
      <alignment horizontal="left" wrapText="1"/>
      <protection/>
    </xf>
    <xf numFmtId="0" fontId="28" fillId="0" borderId="0" xfId="54" applyFont="1" applyFill="1" applyBorder="1" applyAlignment="1">
      <alignment horizontal="left" wrapText="1"/>
      <protection/>
    </xf>
    <xf numFmtId="0" fontId="80" fillId="0" borderId="24" xfId="53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80" fillId="0" borderId="24" xfId="5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80" fillId="0" borderId="24" xfId="53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4" fontId="80" fillId="0" borderId="24" xfId="53" applyNumberFormat="1" applyFont="1" applyBorder="1" applyAlignment="1">
      <alignment horizontal="center" vertical="center"/>
      <protection/>
    </xf>
    <xf numFmtId="0" fontId="79" fillId="0" borderId="10" xfId="53" applyFont="1" applyBorder="1" applyAlignment="1">
      <alignment horizontal="center" wrapText="1"/>
      <protection/>
    </xf>
    <xf numFmtId="0" fontId="5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80" fillId="0" borderId="20" xfId="53" applyFont="1" applyBorder="1" applyAlignment="1">
      <alignment horizontal="right"/>
      <protection/>
    </xf>
    <xf numFmtId="0" fontId="0" fillId="0" borderId="20" xfId="53" applyBorder="1" applyAlignment="1">
      <alignment horizontal="right"/>
      <protection/>
    </xf>
    <xf numFmtId="0" fontId="79" fillId="0" borderId="20" xfId="53" applyFont="1" applyBorder="1" applyAlignment="1">
      <alignment horizontal="left" wrapText="1"/>
      <protection/>
    </xf>
    <xf numFmtId="0" fontId="79" fillId="0" borderId="20" xfId="53" applyFont="1" applyBorder="1" applyAlignment="1">
      <alignment horizontal="center"/>
      <protection/>
    </xf>
    <xf numFmtId="0" fontId="0" fillId="0" borderId="20" xfId="53" applyBorder="1" applyAlignment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20" xfId="53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left" vertical="top" wrapText="1"/>
      <protection/>
    </xf>
    <xf numFmtId="0" fontId="0" fillId="0" borderId="20" xfId="53" applyBorder="1" applyAlignment="1">
      <alignment horizontal="left" vertical="top" wrapText="1"/>
      <protection/>
    </xf>
    <xf numFmtId="0" fontId="79" fillId="0" borderId="20" xfId="53" applyFont="1" applyBorder="1" applyAlignment="1">
      <alignment horizontal="center" wrapText="1"/>
      <protection/>
    </xf>
    <xf numFmtId="0" fontId="0" fillId="0" borderId="20" xfId="53" applyBorder="1" applyAlignment="1">
      <alignment horizontal="center" wrapText="1"/>
      <protection/>
    </xf>
    <xf numFmtId="0" fontId="5" fillId="33" borderId="24" xfId="57" applyFont="1" applyFill="1" applyBorder="1" applyAlignment="1">
      <alignment horizontal="left" vertical="top" wrapText="1"/>
      <protection/>
    </xf>
    <xf numFmtId="0" fontId="0" fillId="0" borderId="22" xfId="53" applyBorder="1" applyAlignment="1">
      <alignment horizontal="left" vertical="top" wrapText="1"/>
      <protection/>
    </xf>
    <xf numFmtId="0" fontId="0" fillId="0" borderId="23" xfId="53" applyBorder="1" applyAlignment="1">
      <alignment horizontal="left" vertical="top" wrapText="1"/>
      <protection/>
    </xf>
    <xf numFmtId="0" fontId="80" fillId="0" borderId="24" xfId="53" applyFont="1" applyBorder="1" applyAlignment="1">
      <alignment horizontal="right"/>
      <protection/>
    </xf>
    <xf numFmtId="0" fontId="80" fillId="0" borderId="22" xfId="53" applyFont="1" applyBorder="1" applyAlignment="1">
      <alignment horizontal="right"/>
      <protection/>
    </xf>
    <xf numFmtId="0" fontId="80" fillId="0" borderId="23" xfId="53" applyFont="1" applyBorder="1" applyAlignment="1">
      <alignment horizontal="right"/>
      <protection/>
    </xf>
    <xf numFmtId="0" fontId="79" fillId="0" borderId="0" xfId="53" applyFont="1" applyAlignment="1">
      <alignment horizontal="center" wrapText="1"/>
      <protection/>
    </xf>
    <xf numFmtId="0" fontId="79" fillId="0" borderId="20" xfId="53" applyFont="1" applyBorder="1" applyAlignment="1">
      <alignment horizontal="center" vertical="top" wrapText="1"/>
      <protection/>
    </xf>
    <xf numFmtId="0" fontId="79" fillId="0" borderId="10" xfId="53" applyFont="1" applyBorder="1" applyAlignment="1">
      <alignment horizontal="center"/>
      <protection/>
    </xf>
    <xf numFmtId="0" fontId="83" fillId="34" borderId="24" xfId="0" applyFont="1" applyFill="1" applyBorder="1" applyAlignment="1">
      <alignment horizontal="center"/>
    </xf>
    <xf numFmtId="0" fontId="83" fillId="34" borderId="22" xfId="0" applyFont="1" applyFill="1" applyBorder="1" applyAlignment="1">
      <alignment horizontal="center"/>
    </xf>
    <xf numFmtId="0" fontId="83" fillId="34" borderId="23" xfId="0" applyFont="1" applyFill="1" applyBorder="1" applyAlignment="1">
      <alignment horizontal="center"/>
    </xf>
    <xf numFmtId="0" fontId="80" fillId="34" borderId="24" xfId="0" applyFont="1" applyFill="1" applyBorder="1" applyAlignment="1">
      <alignment horizontal="left" vertical="center" wrapText="1"/>
    </xf>
    <xf numFmtId="0" fontId="80" fillId="34" borderId="22" xfId="0" applyFont="1" applyFill="1" applyBorder="1" applyAlignment="1">
      <alignment horizontal="left" vertical="center" wrapText="1"/>
    </xf>
    <xf numFmtId="0" fontId="80" fillId="34" borderId="23" xfId="0" applyFont="1" applyFill="1" applyBorder="1" applyAlignment="1">
      <alignment horizontal="left" vertical="center" wrapText="1"/>
    </xf>
    <xf numFmtId="0" fontId="80" fillId="34" borderId="24" xfId="0" applyFont="1" applyFill="1" applyBorder="1" applyAlignment="1">
      <alignment horizontal="left" vertical="top" wrapText="1"/>
    </xf>
    <xf numFmtId="0" fontId="80" fillId="34" borderId="22" xfId="0" applyFont="1" applyFill="1" applyBorder="1" applyAlignment="1">
      <alignment horizontal="left" vertical="top" wrapText="1"/>
    </xf>
    <xf numFmtId="0" fontId="80" fillId="34" borderId="23" xfId="0" applyFont="1" applyFill="1" applyBorder="1" applyAlignment="1">
      <alignment horizontal="left" vertical="top" wrapText="1"/>
    </xf>
    <xf numFmtId="0" fontId="80" fillId="34" borderId="24" xfId="0" applyFont="1" applyFill="1" applyBorder="1" applyAlignment="1">
      <alignment horizontal="left"/>
    </xf>
    <xf numFmtId="0" fontId="80" fillId="34" borderId="22" xfId="0" applyFont="1" applyFill="1" applyBorder="1" applyAlignment="1">
      <alignment horizontal="left"/>
    </xf>
    <xf numFmtId="0" fontId="80" fillId="34" borderId="23" xfId="0" applyFont="1" applyFill="1" applyBorder="1" applyAlignment="1">
      <alignment horizontal="left"/>
    </xf>
    <xf numFmtId="0" fontId="23" fillId="33" borderId="24" xfId="57" applyFont="1" applyFill="1" applyBorder="1" applyAlignment="1">
      <alignment horizontal="left" vertical="top" wrapText="1"/>
      <protection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right"/>
    </xf>
    <xf numFmtId="0" fontId="84" fillId="0" borderId="22" xfId="0" applyFont="1" applyBorder="1" applyAlignment="1">
      <alignment horizontal="right"/>
    </xf>
    <xf numFmtId="0" fontId="84" fillId="0" borderId="23" xfId="0" applyFont="1" applyBorder="1" applyAlignment="1">
      <alignment horizontal="right"/>
    </xf>
    <xf numFmtId="0" fontId="79" fillId="0" borderId="0" xfId="0" applyFont="1" applyAlignment="1">
      <alignment horizontal="center" wrapText="1"/>
    </xf>
    <xf numFmtId="0" fontId="80" fillId="34" borderId="24" xfId="0" applyFont="1" applyFill="1" applyBorder="1" applyAlignment="1">
      <alignment horizontal="left" vertical="center"/>
    </xf>
    <xf numFmtId="0" fontId="80" fillId="34" borderId="22" xfId="0" applyFont="1" applyFill="1" applyBorder="1" applyAlignment="1">
      <alignment horizontal="left" vertical="center"/>
    </xf>
    <xf numFmtId="0" fontId="80" fillId="34" borderId="23" xfId="0" applyFont="1" applyFill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6" fillId="0" borderId="0" xfId="53" applyFont="1" applyAlignment="1">
      <alignment wrapText="1"/>
      <protection/>
    </xf>
    <xf numFmtId="0" fontId="29" fillId="0" borderId="0" xfId="0" applyFont="1" applyAlignment="1">
      <alignment wrapText="1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 wrapText="1"/>
    </xf>
    <xf numFmtId="0" fontId="4" fillId="0" borderId="0" xfId="54" applyNumberFormat="1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/>
    </xf>
    <xf numFmtId="49" fontId="23" fillId="0" borderId="24" xfId="54" applyNumberFormat="1" applyFont="1" applyBorder="1" applyAlignment="1">
      <alignment horizontal="left" vertical="center" wrapText="1"/>
      <protection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80" fillId="0" borderId="20" xfId="53" applyFont="1" applyBorder="1" applyAlignment="1">
      <alignment horizontal="left" wrapText="1"/>
      <protection/>
    </xf>
    <xf numFmtId="0" fontId="80" fillId="0" borderId="24" xfId="53" applyFont="1" applyBorder="1" applyAlignment="1">
      <alignment horizontal="right" wrapText="1"/>
      <protection/>
    </xf>
    <xf numFmtId="0" fontId="0" fillId="0" borderId="22" xfId="53" applyBorder="1" applyAlignment="1">
      <alignment horizontal="right" wrapText="1"/>
      <protection/>
    </xf>
    <xf numFmtId="0" fontId="0" fillId="0" borderId="23" xfId="53" applyBorder="1" applyAlignment="1">
      <alignment horizontal="right" wrapText="1"/>
      <protection/>
    </xf>
    <xf numFmtId="0" fontId="80" fillId="0" borderId="24" xfId="53" applyFont="1" applyBorder="1" applyAlignment="1">
      <alignment horizontal="left" wrapText="1"/>
      <protection/>
    </xf>
    <xf numFmtId="0" fontId="80" fillId="0" borderId="22" xfId="53" applyFont="1" applyBorder="1" applyAlignment="1">
      <alignment horizontal="left" wrapText="1"/>
      <protection/>
    </xf>
    <xf numFmtId="0" fontId="80" fillId="0" borderId="23" xfId="53" applyFont="1" applyBorder="1" applyAlignment="1">
      <alignment horizontal="left" wrapText="1"/>
      <protection/>
    </xf>
    <xf numFmtId="16" fontId="80" fillId="0" borderId="24" xfId="53" applyNumberFormat="1" applyFont="1" applyBorder="1" applyAlignment="1">
      <alignment horizontal="left" wrapText="1"/>
      <protection/>
    </xf>
    <xf numFmtId="16" fontId="80" fillId="0" borderId="22" xfId="53" applyNumberFormat="1" applyFont="1" applyBorder="1" applyAlignment="1">
      <alignment horizontal="left" wrapText="1"/>
      <protection/>
    </xf>
    <xf numFmtId="16" fontId="80" fillId="0" borderId="23" xfId="53" applyNumberFormat="1" applyFont="1" applyBorder="1" applyAlignment="1">
      <alignment horizontal="left" wrapText="1"/>
      <protection/>
    </xf>
    <xf numFmtId="0" fontId="79" fillId="0" borderId="10" xfId="0" applyFont="1" applyBorder="1" applyAlignment="1">
      <alignment horizontal="center" wrapText="1"/>
    </xf>
    <xf numFmtId="0" fontId="80" fillId="0" borderId="24" xfId="0" applyFont="1" applyBorder="1" applyAlignment="1">
      <alignment horizontal="left" wrapText="1"/>
    </xf>
    <xf numFmtId="0" fontId="80" fillId="0" borderId="22" xfId="0" applyFont="1" applyBorder="1" applyAlignment="1">
      <alignment horizontal="left" wrapText="1"/>
    </xf>
    <xf numFmtId="0" fontId="80" fillId="0" borderId="23" xfId="0" applyFont="1" applyBorder="1" applyAlignment="1">
      <alignment horizontal="left" wrapText="1"/>
    </xf>
    <xf numFmtId="16" fontId="80" fillId="0" borderId="24" xfId="0" applyNumberFormat="1" applyFont="1" applyBorder="1" applyAlignment="1">
      <alignment horizontal="left" wrapText="1"/>
    </xf>
    <xf numFmtId="16" fontId="80" fillId="0" borderId="22" xfId="0" applyNumberFormat="1" applyFont="1" applyBorder="1" applyAlignment="1">
      <alignment horizontal="left" wrapText="1"/>
    </xf>
    <xf numFmtId="16" fontId="80" fillId="0" borderId="23" xfId="0" applyNumberFormat="1" applyFont="1" applyBorder="1" applyAlignment="1">
      <alignment horizontal="left" wrapText="1"/>
    </xf>
    <xf numFmtId="0" fontId="80" fillId="0" borderId="20" xfId="0" applyFont="1" applyBorder="1" applyAlignment="1">
      <alignment horizontal="center" wrapText="1"/>
    </xf>
    <xf numFmtId="0" fontId="80" fillId="0" borderId="20" xfId="0" applyFont="1" applyBorder="1" applyAlignment="1">
      <alignment horizontal="left" wrapText="1"/>
    </xf>
    <xf numFmtId="0" fontId="0" fillId="0" borderId="22" xfId="53" applyBorder="1" applyAlignment="1">
      <alignment horizontal="center" vertical="center" wrapText="1"/>
      <protection/>
    </xf>
    <xf numFmtId="0" fontId="0" fillId="0" borderId="23" xfId="53" applyBorder="1" applyAlignment="1">
      <alignment horizontal="center" vertical="center" wrapText="1"/>
      <protection/>
    </xf>
    <xf numFmtId="0" fontId="0" fillId="0" borderId="22" xfId="53" applyBorder="1" applyAlignment="1">
      <alignment horizontal="center"/>
      <protection/>
    </xf>
    <xf numFmtId="0" fontId="0" fillId="0" borderId="23" xfId="53" applyBorder="1" applyAlignment="1">
      <alignment horizontal="center"/>
      <protection/>
    </xf>
    <xf numFmtId="0" fontId="80" fillId="0" borderId="24" xfId="53" applyFont="1" applyBorder="1" applyAlignment="1">
      <alignment horizontal="left" vertical="top" wrapText="1"/>
      <protection/>
    </xf>
    <xf numFmtId="0" fontId="0" fillId="0" borderId="22" xfId="53" applyBorder="1" applyAlignment="1">
      <alignment/>
      <protection/>
    </xf>
    <xf numFmtId="0" fontId="0" fillId="0" borderId="23" xfId="53" applyBorder="1" applyAlignment="1">
      <alignment/>
      <protection/>
    </xf>
    <xf numFmtId="0" fontId="0" fillId="0" borderId="22" xfId="53" applyBorder="1" applyAlignment="1">
      <alignment horizontal="right"/>
      <protection/>
    </xf>
    <xf numFmtId="0" fontId="0" fillId="0" borderId="23" xfId="53" applyBorder="1" applyAlignment="1">
      <alignment horizontal="right"/>
      <protection/>
    </xf>
    <xf numFmtId="0" fontId="0" fillId="0" borderId="0" xfId="53" applyAlignment="1">
      <alignment wrapText="1"/>
      <protection/>
    </xf>
    <xf numFmtId="0" fontId="79" fillId="0" borderId="0" xfId="53" applyFont="1" applyAlignment="1">
      <alignment horizontal="left" wrapText="1"/>
      <protection/>
    </xf>
    <xf numFmtId="0" fontId="22" fillId="0" borderId="0" xfId="53" applyFont="1" applyBorder="1" applyAlignment="1">
      <alignment horizontal="left" vertical="center"/>
      <protection/>
    </xf>
    <xf numFmtId="0" fontId="0" fillId="0" borderId="0" xfId="53" applyAlignment="1">
      <alignment horizontal="left" vertical="center"/>
      <protection/>
    </xf>
    <xf numFmtId="0" fontId="83" fillId="0" borderId="0" xfId="53" applyFont="1" applyBorder="1" applyAlignment="1">
      <alignment horizontal="center"/>
      <protection/>
    </xf>
    <xf numFmtId="0" fontId="80" fillId="0" borderId="22" xfId="53" applyFont="1" applyBorder="1" applyAlignment="1">
      <alignment horizontal="center" vertical="center" wrapText="1"/>
      <protection/>
    </xf>
    <xf numFmtId="0" fontId="80" fillId="0" borderId="23" xfId="53" applyFont="1" applyBorder="1" applyAlignment="1">
      <alignment horizontal="center" vertical="center" wrapText="1"/>
      <protection/>
    </xf>
    <xf numFmtId="0" fontId="80" fillId="0" borderId="22" xfId="53" applyFont="1" applyBorder="1" applyAlignment="1">
      <alignment horizontal="center"/>
      <protection/>
    </xf>
    <xf numFmtId="0" fontId="80" fillId="0" borderId="23" xfId="53" applyFont="1" applyBorder="1" applyAlignment="1">
      <alignment horizontal="center"/>
      <protection/>
    </xf>
    <xf numFmtId="4" fontId="79" fillId="0" borderId="0" xfId="53" applyNumberFormat="1" applyFont="1" applyBorder="1" applyAlignment="1">
      <alignment horizontal="center"/>
      <protection/>
    </xf>
    <xf numFmtId="0" fontId="5" fillId="0" borderId="23" xfId="53" applyFont="1" applyBorder="1" applyAlignment="1">
      <alignment horizontal="left" vertical="top" wrapText="1"/>
      <protection/>
    </xf>
    <xf numFmtId="0" fontId="80" fillId="0" borderId="24" xfId="53" applyFont="1" applyBorder="1" applyAlignment="1">
      <alignment horizontal="left"/>
      <protection/>
    </xf>
    <xf numFmtId="0" fontId="80" fillId="0" borderId="23" xfId="53" applyFont="1" applyBorder="1" applyAlignment="1">
      <alignment horizontal="left"/>
      <protection/>
    </xf>
    <xf numFmtId="0" fontId="80" fillId="0" borderId="24" xfId="53" applyFont="1" applyBorder="1" applyAlignment="1">
      <alignment wrapText="1"/>
      <protection/>
    </xf>
    <xf numFmtId="0" fontId="0" fillId="0" borderId="23" xfId="53" applyBorder="1" applyAlignment="1">
      <alignment wrapText="1"/>
      <protection/>
    </xf>
    <xf numFmtId="0" fontId="80" fillId="0" borderId="23" xfId="53" applyFont="1" applyBorder="1" applyAlignment="1">
      <alignment horizontal="left" vertical="top" wrapText="1"/>
      <protection/>
    </xf>
    <xf numFmtId="0" fontId="80" fillId="0" borderId="22" xfId="53" applyFont="1" applyBorder="1" applyAlignment="1">
      <alignment horizontal="left" vertical="top" wrapText="1"/>
      <protection/>
    </xf>
    <xf numFmtId="0" fontId="80" fillId="0" borderId="24" xfId="53" applyFont="1" applyBorder="1" applyAlignment="1">
      <alignment horizontal="right" vertical="top"/>
      <protection/>
    </xf>
    <xf numFmtId="0" fontId="80" fillId="0" borderId="22" xfId="53" applyFont="1" applyBorder="1" applyAlignment="1">
      <alignment horizontal="right" vertical="top"/>
      <protection/>
    </xf>
    <xf numFmtId="0" fontId="0" fillId="0" borderId="22" xfId="53" applyBorder="1" applyAlignment="1">
      <alignment horizontal="right" vertical="top"/>
      <protection/>
    </xf>
    <xf numFmtId="0" fontId="0" fillId="0" borderId="23" xfId="53" applyBorder="1" applyAlignment="1">
      <alignment horizontal="right" vertical="top"/>
      <protection/>
    </xf>
    <xf numFmtId="0" fontId="80" fillId="0" borderId="22" xfId="53" applyFont="1" applyBorder="1" applyAlignment="1">
      <alignment horizontal="left"/>
      <protection/>
    </xf>
    <xf numFmtId="0" fontId="80" fillId="0" borderId="24" xfId="53" applyFont="1" applyBorder="1" applyAlignment="1">
      <alignment horizontal="left" vertical="top"/>
      <protection/>
    </xf>
    <xf numFmtId="0" fontId="80" fillId="0" borderId="22" xfId="53" applyFont="1" applyBorder="1" applyAlignment="1">
      <alignment horizontal="left" vertical="top"/>
      <protection/>
    </xf>
    <xf numFmtId="0" fontId="0" fillId="0" borderId="23" xfId="53" applyBorder="1" applyAlignment="1">
      <alignment horizontal="left" vertical="top"/>
      <protection/>
    </xf>
    <xf numFmtId="0" fontId="83" fillId="0" borderId="24" xfId="53" applyFont="1" applyBorder="1" applyAlignment="1">
      <alignment horizontal="center"/>
      <protection/>
    </xf>
    <xf numFmtId="0" fontId="83" fillId="0" borderId="22" xfId="53" applyFont="1" applyBorder="1" applyAlignment="1">
      <alignment horizontal="center"/>
      <protection/>
    </xf>
    <xf numFmtId="0" fontId="83" fillId="0" borderId="23" xfId="53" applyFont="1" applyBorder="1" applyAlignment="1">
      <alignment horizontal="center"/>
      <protection/>
    </xf>
    <xf numFmtId="0" fontId="0" fillId="0" borderId="25" xfId="53" applyBorder="1" applyAlignment="1">
      <alignment horizontal="center" textRotation="90" wrapText="1"/>
      <protection/>
    </xf>
    <xf numFmtId="0" fontId="0" fillId="0" borderId="26" xfId="53" applyBorder="1" applyAlignment="1">
      <alignment horizontal="center" textRotation="90" wrapText="1"/>
      <protection/>
    </xf>
    <xf numFmtId="0" fontId="80" fillId="0" borderId="0" xfId="53" applyFont="1" applyBorder="1" applyAlignment="1">
      <alignment horizontal="center" vertical="center" wrapText="1"/>
      <protection/>
    </xf>
    <xf numFmtId="0" fontId="84" fillId="0" borderId="0" xfId="53" applyFont="1" applyBorder="1" applyAlignment="1">
      <alignment horizontal="left" vertical="center" wrapText="1"/>
      <protection/>
    </xf>
    <xf numFmtId="0" fontId="0" fillId="0" borderId="0" xfId="53" applyBorder="1" applyAlignment="1">
      <alignment horizontal="left" vertical="center" wrapText="1"/>
      <protection/>
    </xf>
    <xf numFmtId="4" fontId="91" fillId="0" borderId="0" xfId="53" applyNumberFormat="1" applyFont="1" applyBorder="1" applyAlignment="1">
      <alignment horizontal="center"/>
      <protection/>
    </xf>
    <xf numFmtId="0" fontId="91" fillId="0" borderId="0" xfId="53" applyFont="1" applyBorder="1" applyAlignment="1">
      <alignment horizontal="center"/>
      <protection/>
    </xf>
    <xf numFmtId="0" fontId="81" fillId="34" borderId="27" xfId="53" applyFont="1" applyFill="1" applyBorder="1" applyAlignment="1">
      <alignment/>
      <protection/>
    </xf>
    <xf numFmtId="0" fontId="80" fillId="34" borderId="24" xfId="53" applyFont="1" applyFill="1" applyBorder="1" applyAlignment="1">
      <alignment horizontal="right"/>
      <protection/>
    </xf>
    <xf numFmtId="0" fontId="80" fillId="34" borderId="22" xfId="53" applyFont="1" applyFill="1" applyBorder="1" applyAlignment="1">
      <alignment horizontal="right"/>
      <protection/>
    </xf>
    <xf numFmtId="0" fontId="80" fillId="34" borderId="23" xfId="53" applyFont="1" applyFill="1" applyBorder="1" applyAlignment="1">
      <alignment horizontal="right"/>
      <protection/>
    </xf>
    <xf numFmtId="0" fontId="84" fillId="34" borderId="0" xfId="53" applyFont="1" applyFill="1" applyAlignment="1">
      <alignment horizontal="left" wrapText="1"/>
      <protection/>
    </xf>
    <xf numFmtId="0" fontId="0" fillId="34" borderId="0" xfId="53" applyFill="1" applyAlignment="1">
      <alignment horizontal="left" wrapText="1"/>
      <protection/>
    </xf>
    <xf numFmtId="0" fontId="89" fillId="34" borderId="10" xfId="53" applyFont="1" applyFill="1" applyBorder="1" applyAlignment="1">
      <alignment horizontal="center" vertical="center" wrapText="1"/>
      <protection/>
    </xf>
    <xf numFmtId="0" fontId="0" fillId="34" borderId="10" xfId="53" applyFill="1" applyBorder="1" applyAlignment="1">
      <alignment horizontal="center" vertical="center" wrapText="1"/>
      <protection/>
    </xf>
    <xf numFmtId="0" fontId="89" fillId="34" borderId="10" xfId="53" applyFont="1" applyFill="1" applyBorder="1" applyAlignment="1">
      <alignment horizontal="left" vertical="center" wrapText="1"/>
      <protection/>
    </xf>
    <xf numFmtId="0" fontId="0" fillId="34" borderId="10" xfId="53" applyFill="1" applyBorder="1" applyAlignment="1">
      <alignment vertical="center" wrapText="1"/>
      <protection/>
    </xf>
    <xf numFmtId="0" fontId="23" fillId="34" borderId="0" xfId="53" applyFont="1" applyFill="1" applyBorder="1" applyAlignment="1">
      <alignment horizontal="left" wrapText="1"/>
      <protection/>
    </xf>
    <xf numFmtId="0" fontId="80" fillId="34" borderId="24" xfId="53" applyFont="1" applyFill="1" applyBorder="1" applyAlignment="1">
      <alignment horizontal="left" vertical="top" wrapText="1"/>
      <protection/>
    </xf>
    <xf numFmtId="0" fontId="80" fillId="34" borderId="22" xfId="53" applyFont="1" applyFill="1" applyBorder="1" applyAlignment="1">
      <alignment horizontal="left" vertical="top" wrapText="1"/>
      <protection/>
    </xf>
    <xf numFmtId="0" fontId="79" fillId="34" borderId="10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 horizontal="center" vertical="center"/>
      <protection/>
    </xf>
    <xf numFmtId="0" fontId="80" fillId="34" borderId="22" xfId="53" applyFont="1" applyFill="1" applyBorder="1" applyAlignment="1">
      <alignment horizontal="center" vertical="center"/>
      <protection/>
    </xf>
    <xf numFmtId="0" fontId="80" fillId="34" borderId="23" xfId="53" applyFont="1" applyFill="1" applyBorder="1" applyAlignment="1">
      <alignment horizontal="center" vertical="center"/>
      <protection/>
    </xf>
    <xf numFmtId="0" fontId="88" fillId="34" borderId="20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/>
      <protection/>
    </xf>
    <xf numFmtId="0" fontId="80" fillId="34" borderId="22" xfId="53" applyFont="1" applyFill="1" applyBorder="1" applyAlignment="1">
      <alignment/>
      <protection/>
    </xf>
    <xf numFmtId="0" fontId="80" fillId="34" borderId="23" xfId="53" applyFont="1" applyFill="1" applyBorder="1" applyAlignment="1">
      <alignment/>
      <protection/>
    </xf>
    <xf numFmtId="0" fontId="80" fillId="34" borderId="24" xfId="53" applyFont="1" applyFill="1" applyBorder="1" applyAlignment="1">
      <alignment horizontal="left"/>
      <protection/>
    </xf>
    <xf numFmtId="0" fontId="80" fillId="34" borderId="22" xfId="53" applyFont="1" applyFill="1" applyBorder="1" applyAlignment="1">
      <alignment horizontal="left"/>
      <protection/>
    </xf>
    <xf numFmtId="0" fontId="80" fillId="34" borderId="23" xfId="53" applyFont="1" applyFill="1" applyBorder="1" applyAlignment="1">
      <alignment horizontal="left"/>
      <protection/>
    </xf>
    <xf numFmtId="0" fontId="88" fillId="34" borderId="24" xfId="53" applyFont="1" applyFill="1" applyBorder="1" applyAlignment="1">
      <alignment horizontal="center"/>
      <protection/>
    </xf>
    <xf numFmtId="0" fontId="88" fillId="34" borderId="22" xfId="53" applyFont="1" applyFill="1" applyBorder="1" applyAlignment="1">
      <alignment horizontal="center"/>
      <protection/>
    </xf>
    <xf numFmtId="0" fontId="88" fillId="34" borderId="23" xfId="53" applyFont="1" applyFill="1" applyBorder="1" applyAlignment="1">
      <alignment horizontal="center"/>
      <protection/>
    </xf>
    <xf numFmtId="0" fontId="79" fillId="34" borderId="22" xfId="53" applyFont="1" applyFill="1" applyBorder="1" applyAlignment="1">
      <alignment horizontal="center"/>
      <protection/>
    </xf>
    <xf numFmtId="0" fontId="80" fillId="34" borderId="24" xfId="53" applyFont="1" applyFill="1" applyBorder="1" applyAlignment="1">
      <alignment horizontal="left" vertical="center" wrapText="1"/>
      <protection/>
    </xf>
    <xf numFmtId="0" fontId="80" fillId="34" borderId="22" xfId="53" applyFont="1" applyFill="1" applyBorder="1" applyAlignment="1">
      <alignment horizontal="left" vertical="center" wrapText="1"/>
      <protection/>
    </xf>
    <xf numFmtId="0" fontId="80" fillId="34" borderId="23" xfId="53" applyFont="1" applyFill="1" applyBorder="1" applyAlignment="1">
      <alignment horizontal="left" vertical="center" wrapText="1"/>
      <protection/>
    </xf>
    <xf numFmtId="0" fontId="80" fillId="34" borderId="23" xfId="53" applyFont="1" applyFill="1" applyBorder="1" applyAlignment="1">
      <alignment horizontal="left" vertical="top" wrapText="1"/>
      <protection/>
    </xf>
    <xf numFmtId="0" fontId="80" fillId="34" borderId="20" xfId="53" applyFont="1" applyFill="1" applyBorder="1" applyAlignment="1">
      <alignment horizontal="center"/>
      <protection/>
    </xf>
    <xf numFmtId="0" fontId="0" fillId="34" borderId="20" xfId="53" applyFill="1" applyBorder="1" applyAlignment="1">
      <alignment horizontal="center"/>
      <protection/>
    </xf>
    <xf numFmtId="0" fontId="83" fillId="34" borderId="24" xfId="53" applyFont="1" applyFill="1" applyBorder="1" applyAlignment="1">
      <alignment horizontal="center"/>
      <protection/>
    </xf>
    <xf numFmtId="0" fontId="83" fillId="34" borderId="22" xfId="53" applyFont="1" applyFill="1" applyBorder="1" applyAlignment="1">
      <alignment horizontal="center"/>
      <protection/>
    </xf>
    <xf numFmtId="0" fontId="83" fillId="34" borderId="23" xfId="53" applyFont="1" applyFill="1" applyBorder="1" applyAlignment="1">
      <alignment horizontal="center"/>
      <protection/>
    </xf>
    <xf numFmtId="0" fontId="0" fillId="34" borderId="23" xfId="53" applyFill="1" applyBorder="1" applyAlignment="1">
      <alignment horizontal="left" vertical="top" wrapText="1"/>
      <protection/>
    </xf>
    <xf numFmtId="0" fontId="84" fillId="34" borderId="28" xfId="53" applyFont="1" applyFill="1" applyBorder="1" applyAlignment="1">
      <alignment horizontal="center" textRotation="90" wrapText="1"/>
      <protection/>
    </xf>
    <xf numFmtId="0" fontId="0" fillId="34" borderId="25" xfId="53" applyFill="1" applyBorder="1" applyAlignment="1">
      <alignment horizontal="center" textRotation="90" wrapText="1"/>
      <protection/>
    </xf>
    <xf numFmtId="0" fontId="80" fillId="34" borderId="24" xfId="53" applyFont="1" applyFill="1" applyBorder="1" applyAlignment="1">
      <alignment horizontal="left" vertical="top"/>
      <protection/>
    </xf>
    <xf numFmtId="0" fontId="80" fillId="34" borderId="22" xfId="53" applyFont="1" applyFill="1" applyBorder="1" applyAlignment="1">
      <alignment horizontal="left" vertical="top"/>
      <protection/>
    </xf>
    <xf numFmtId="0" fontId="0" fillId="34" borderId="23" xfId="53" applyFill="1" applyBorder="1" applyAlignment="1">
      <alignment horizontal="left" vertical="top"/>
      <protection/>
    </xf>
    <xf numFmtId="0" fontId="0" fillId="34" borderId="22" xfId="53" applyFill="1" applyBorder="1" applyAlignment="1">
      <alignment horizontal="left" vertical="top" wrapText="1"/>
      <protection/>
    </xf>
    <xf numFmtId="0" fontId="80" fillId="34" borderId="24" xfId="53" applyFont="1" applyFill="1" applyBorder="1" applyAlignment="1">
      <alignment horizontal="center" vertical="center" wrapText="1"/>
      <protection/>
    </xf>
    <xf numFmtId="0" fontId="80" fillId="34" borderId="23" xfId="53" applyFont="1" applyFill="1" applyBorder="1" applyAlignment="1">
      <alignment horizontal="center" vertical="center" wrapText="1"/>
      <protection/>
    </xf>
    <xf numFmtId="0" fontId="80" fillId="34" borderId="24" xfId="53" applyFont="1" applyFill="1" applyBorder="1" applyAlignment="1">
      <alignment horizontal="center"/>
      <protection/>
    </xf>
    <xf numFmtId="0" fontId="80" fillId="34" borderId="23" xfId="53" applyFont="1" applyFill="1" applyBorder="1" applyAlignment="1">
      <alignment horizontal="center"/>
      <protection/>
    </xf>
    <xf numFmtId="0" fontId="5" fillId="34" borderId="24" xfId="53" applyFont="1" applyFill="1" applyBorder="1" applyAlignment="1">
      <alignment horizontal="center" vertical="top" wrapText="1"/>
      <protection/>
    </xf>
    <xf numFmtId="0" fontId="5" fillId="34" borderId="23" xfId="53" applyFont="1" applyFill="1" applyBorder="1" applyAlignment="1">
      <alignment horizontal="center" vertical="top" wrapText="1"/>
      <protection/>
    </xf>
    <xf numFmtId="0" fontId="89" fillId="34" borderId="0" xfId="53" applyFont="1" applyFill="1" applyBorder="1" applyAlignment="1">
      <alignment horizontal="center" vertical="center" wrapText="1"/>
      <protection/>
    </xf>
    <xf numFmtId="0" fontId="89" fillId="34" borderId="0" xfId="53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_внебюджрасчеты под факт" xfId="56"/>
    <cellStyle name="Обычный_ЗАЯВКА2008_090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10_2021%20-29.1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Доходы 130"/>
      <sheetName val="ЗП МЗ"/>
      <sheetName val="ЗП ИЦ"/>
      <sheetName val="ПВ МЗ"/>
      <sheetName val="ПВ ИЦ"/>
      <sheetName val="НЧ МЗ"/>
      <sheetName val="НЧ ИЦ"/>
      <sheetName val="290 МЗ"/>
      <sheetName val="244,247 МЗ"/>
      <sheetName val="244 МЗ (2)"/>
      <sheetName val="244 МЗ (3)"/>
      <sheetName val="244 ИЦ"/>
    </sheetNames>
    <sheetDataSet>
      <sheetData sheetId="10">
        <row r="17">
          <cell r="G17">
            <v>85377</v>
          </cell>
        </row>
        <row r="37">
          <cell r="G37">
            <v>168589.34</v>
          </cell>
        </row>
      </sheetData>
      <sheetData sheetId="11">
        <row r="30">
          <cell r="G30">
            <v>417399.99999999994</v>
          </cell>
        </row>
        <row r="47">
          <cell r="G47">
            <v>470541.82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2"/>
  <sheetViews>
    <sheetView showGridLines="0" view="pageBreakPreview" zoomScaleSheetLayoutView="100" zoomScalePageLayoutView="0" workbookViewId="0" topLeftCell="A20">
      <selection activeCell="A100" sqref="A100:BY138"/>
    </sheetView>
  </sheetViews>
  <sheetFormatPr defaultColWidth="2" defaultRowHeight="12.75"/>
  <cols>
    <col min="1" max="56" width="2" style="0" customWidth="1"/>
    <col min="57" max="57" width="3" style="0" customWidth="1"/>
  </cols>
  <sheetData>
    <row r="1" spans="1:76" ht="13.5" customHeight="1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BC1" s="319" t="s">
        <v>52</v>
      </c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</row>
    <row r="2" spans="1:7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BC2" s="313" t="s">
        <v>552</v>
      </c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</row>
    <row r="3" spans="1:76" ht="13.5" customHeight="1">
      <c r="A3" s="308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BC3" s="388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</row>
    <row r="4" spans="1:76" ht="2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BC4" s="316" t="s">
        <v>553</v>
      </c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</row>
    <row r="5" spans="1:76" ht="13.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BC5" s="388" t="s">
        <v>272</v>
      </c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</row>
    <row r="6" spans="1:76" ht="13.5" customHeight="1">
      <c r="A6" s="1"/>
      <c r="B6" s="309"/>
      <c r="C6" s="309"/>
      <c r="D6" s="309"/>
      <c r="E6" s="309"/>
      <c r="F6" s="309"/>
      <c r="G6" s="309"/>
      <c r="H6" s="309"/>
      <c r="I6" s="309"/>
      <c r="J6" s="1"/>
      <c r="K6" s="318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1"/>
      <c r="BC6" s="226"/>
      <c r="BD6" s="386"/>
      <c r="BE6" s="386"/>
      <c r="BF6" s="386"/>
      <c r="BG6" s="386"/>
      <c r="BH6" s="386"/>
      <c r="BI6" s="386"/>
      <c r="BJ6" s="386"/>
      <c r="BK6" s="386"/>
      <c r="BL6" s="306"/>
      <c r="BM6" s="387" t="s">
        <v>567</v>
      </c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226"/>
    </row>
    <row r="7" spans="1:76" ht="13.5" customHeight="1">
      <c r="A7" s="1"/>
      <c r="B7" s="308"/>
      <c r="C7" s="308"/>
      <c r="D7" s="308"/>
      <c r="E7" s="308"/>
      <c r="F7" s="308"/>
      <c r="G7" s="308"/>
      <c r="H7" s="308"/>
      <c r="I7" s="308"/>
      <c r="J7" s="34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1"/>
      <c r="BC7" s="226"/>
      <c r="BD7" s="388" t="s">
        <v>53</v>
      </c>
      <c r="BE7" s="388"/>
      <c r="BF7" s="388"/>
      <c r="BG7" s="388"/>
      <c r="BH7" s="388"/>
      <c r="BI7" s="388"/>
      <c r="BJ7" s="388"/>
      <c r="BK7" s="388"/>
      <c r="BL7" s="307"/>
      <c r="BM7" s="388" t="s">
        <v>54</v>
      </c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226"/>
    </row>
    <row r="8" spans="1:76" ht="11.25" customHeight="1">
      <c r="A8" s="1"/>
      <c r="B8" s="309"/>
      <c r="C8" s="309"/>
      <c r="D8" s="1"/>
      <c r="E8" s="309"/>
      <c r="F8" s="309"/>
      <c r="G8" s="309"/>
      <c r="H8" s="309"/>
      <c r="I8" s="309"/>
      <c r="J8" s="309"/>
      <c r="K8" s="309"/>
      <c r="L8" s="309"/>
      <c r="M8" s="310"/>
      <c r="N8" s="310"/>
      <c r="O8" s="309"/>
      <c r="P8" s="309"/>
      <c r="Q8" s="1"/>
      <c r="R8" s="1"/>
      <c r="S8" s="1"/>
      <c r="T8" s="1"/>
      <c r="U8" s="1"/>
      <c r="V8" s="1"/>
      <c r="BC8" s="226" t="s">
        <v>55</v>
      </c>
      <c r="BD8" s="386"/>
      <c r="BE8" s="386"/>
      <c r="BF8" s="226" t="s">
        <v>55</v>
      </c>
      <c r="BG8" s="386"/>
      <c r="BH8" s="386"/>
      <c r="BI8" s="386"/>
      <c r="BJ8" s="386"/>
      <c r="BK8" s="386"/>
      <c r="BL8" s="386"/>
      <c r="BM8" s="386"/>
      <c r="BN8" s="386"/>
      <c r="BO8" s="389">
        <v>20</v>
      </c>
      <c r="BP8" s="389"/>
      <c r="BQ8" s="386"/>
      <c r="BR8" s="386"/>
      <c r="BS8" s="226" t="s">
        <v>56</v>
      </c>
      <c r="BT8" s="226"/>
      <c r="BU8" s="226"/>
      <c r="BV8" s="226"/>
      <c r="BW8" s="226"/>
      <c r="BX8" s="226"/>
    </row>
    <row r="9" spans="35:76" ht="15">
      <c r="AI9" s="3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</row>
    <row r="10" spans="1:76" ht="14.25" customHeight="1">
      <c r="A10" s="404" t="s">
        <v>0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3" t="s">
        <v>273</v>
      </c>
      <c r="AZ10" s="403"/>
      <c r="BA10" s="2" t="s">
        <v>56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396" t="s">
        <v>5</v>
      </c>
      <c r="BR10" s="396"/>
      <c r="BS10" s="396"/>
      <c r="BT10" s="396"/>
      <c r="BU10" s="396"/>
      <c r="BV10" s="396"/>
      <c r="BW10" s="396"/>
      <c r="BX10" s="396"/>
    </row>
    <row r="11" spans="24:76" ht="15.75" customHeight="1" thickBot="1">
      <c r="X11" s="404" t="s">
        <v>1</v>
      </c>
      <c r="Y11" s="404"/>
      <c r="Z11" s="404"/>
      <c r="AA11" s="404"/>
      <c r="AB11" s="391" t="s">
        <v>273</v>
      </c>
      <c r="AC11" s="391"/>
      <c r="AD11" s="26" t="s">
        <v>2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Q11" s="391" t="s">
        <v>521</v>
      </c>
      <c r="AR11" s="391"/>
      <c r="AS11" s="26" t="s">
        <v>3</v>
      </c>
      <c r="AU11" s="28"/>
      <c r="AV11" s="391" t="s">
        <v>544</v>
      </c>
      <c r="AW11" s="391"/>
      <c r="AX11" s="395" t="s">
        <v>4</v>
      </c>
      <c r="AY11" s="395"/>
      <c r="AZ11" s="395"/>
      <c r="BA11" s="395"/>
      <c r="BB11" s="395"/>
      <c r="BQ11" s="397"/>
      <c r="BR11" s="397"/>
      <c r="BS11" s="397"/>
      <c r="BT11" s="397"/>
      <c r="BU11" s="397"/>
      <c r="BV11" s="397"/>
      <c r="BW11" s="397"/>
      <c r="BX11" s="397"/>
    </row>
    <row r="12" spans="31:76" ht="15.75">
      <c r="AE12" t="s">
        <v>16</v>
      </c>
      <c r="AG12" s="416" t="s">
        <v>550</v>
      </c>
      <c r="AH12" s="391"/>
      <c r="AI12" t="s">
        <v>55</v>
      </c>
      <c r="AJ12" s="417" t="s">
        <v>551</v>
      </c>
      <c r="AK12" s="418"/>
      <c r="AL12" s="418"/>
      <c r="AM12" s="418"/>
      <c r="AN12" s="418"/>
      <c r="AO12" s="418"/>
      <c r="AP12" s="418"/>
      <c r="AQ12" s="418"/>
      <c r="AR12" s="415">
        <v>20</v>
      </c>
      <c r="AS12" s="415"/>
      <c r="AT12" s="391" t="s">
        <v>273</v>
      </c>
      <c r="AU12" s="391"/>
      <c r="AV12" s="415" t="s">
        <v>17</v>
      </c>
      <c r="AW12" s="415"/>
      <c r="BF12" s="401" t="s">
        <v>6</v>
      </c>
      <c r="BG12" s="401"/>
      <c r="BH12" s="401"/>
      <c r="BI12" s="401"/>
      <c r="BJ12" s="401"/>
      <c r="BK12" s="401"/>
      <c r="BL12" s="401"/>
      <c r="BM12" s="401"/>
      <c r="BN12" s="401"/>
      <c r="BO12" s="401"/>
      <c r="BP12" s="402"/>
      <c r="BQ12" s="398" t="s">
        <v>549</v>
      </c>
      <c r="BR12" s="399"/>
      <c r="BS12" s="399"/>
      <c r="BT12" s="399"/>
      <c r="BU12" s="399"/>
      <c r="BV12" s="399"/>
      <c r="BW12" s="399"/>
      <c r="BX12" s="400"/>
    </row>
    <row r="13" spans="1:76" ht="12.75">
      <c r="A13" s="4" t="s">
        <v>14</v>
      </c>
      <c r="BF13" s="401" t="s">
        <v>7</v>
      </c>
      <c r="BG13" s="401"/>
      <c r="BH13" s="401"/>
      <c r="BI13" s="401"/>
      <c r="BJ13" s="401"/>
      <c r="BK13" s="401"/>
      <c r="BL13" s="401"/>
      <c r="BM13" s="401"/>
      <c r="BN13" s="401"/>
      <c r="BO13" s="401"/>
      <c r="BP13" s="402"/>
      <c r="BQ13" s="405" t="s">
        <v>276</v>
      </c>
      <c r="BR13" s="406"/>
      <c r="BS13" s="406"/>
      <c r="BT13" s="406"/>
      <c r="BU13" s="406"/>
      <c r="BV13" s="406"/>
      <c r="BW13" s="406"/>
      <c r="BX13" s="407"/>
    </row>
    <row r="14" spans="1:76" ht="12.75">
      <c r="A14" s="4" t="s">
        <v>13</v>
      </c>
      <c r="N14" s="416" t="s">
        <v>274</v>
      </c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411" t="s">
        <v>8</v>
      </c>
      <c r="BG14" s="411"/>
      <c r="BH14" s="411"/>
      <c r="BI14" s="411"/>
      <c r="BJ14" s="411"/>
      <c r="BK14" s="411"/>
      <c r="BL14" s="411"/>
      <c r="BM14" s="411"/>
      <c r="BN14" s="411"/>
      <c r="BO14" s="411"/>
      <c r="BP14" s="412"/>
      <c r="BQ14" s="392" t="s">
        <v>277</v>
      </c>
      <c r="BR14" s="393"/>
      <c r="BS14" s="393"/>
      <c r="BT14" s="393"/>
      <c r="BU14" s="393"/>
      <c r="BV14" s="393"/>
      <c r="BW14" s="393"/>
      <c r="BX14" s="394"/>
    </row>
    <row r="15" spans="58:76" ht="12.75">
      <c r="BF15" s="413" t="s">
        <v>7</v>
      </c>
      <c r="BG15" s="413"/>
      <c r="BH15" s="413"/>
      <c r="BI15" s="413"/>
      <c r="BJ15" s="413"/>
      <c r="BK15" s="413"/>
      <c r="BL15" s="413"/>
      <c r="BM15" s="413"/>
      <c r="BN15" s="413"/>
      <c r="BO15" s="413"/>
      <c r="BP15" s="414"/>
      <c r="BQ15" s="392" t="s">
        <v>278</v>
      </c>
      <c r="BR15" s="393"/>
      <c r="BS15" s="393"/>
      <c r="BT15" s="393"/>
      <c r="BU15" s="393"/>
      <c r="BV15" s="393"/>
      <c r="BW15" s="393"/>
      <c r="BX15" s="394"/>
    </row>
    <row r="16" spans="58:76" ht="12.75">
      <c r="BF16" s="414" t="s">
        <v>9</v>
      </c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392" t="s">
        <v>279</v>
      </c>
      <c r="BR16" s="393"/>
      <c r="BS16" s="393"/>
      <c r="BT16" s="393"/>
      <c r="BU16" s="393"/>
      <c r="BV16" s="393"/>
      <c r="BW16" s="393"/>
      <c r="BX16" s="394"/>
    </row>
    <row r="17" spans="1:76" ht="12.75">
      <c r="A17" s="4" t="s">
        <v>12</v>
      </c>
      <c r="H17" s="416" t="s">
        <v>275</v>
      </c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414" t="s">
        <v>10</v>
      </c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392" t="s">
        <v>280</v>
      </c>
      <c r="BR17" s="393"/>
      <c r="BS17" s="393"/>
      <c r="BT17" s="393"/>
      <c r="BU17" s="393"/>
      <c r="BV17" s="393"/>
      <c r="BW17" s="393"/>
      <c r="BX17" s="394"/>
    </row>
    <row r="18" spans="1:76" ht="13.5" thickBot="1">
      <c r="A18" s="4" t="s">
        <v>15</v>
      </c>
      <c r="BF18" s="414" t="s">
        <v>11</v>
      </c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08">
        <v>383</v>
      </c>
      <c r="BR18" s="409"/>
      <c r="BS18" s="409"/>
      <c r="BT18" s="409"/>
      <c r="BU18" s="409"/>
      <c r="BV18" s="409"/>
      <c r="BW18" s="409"/>
      <c r="BX18" s="410"/>
    </row>
    <row r="19" spans="1:76" ht="12.75">
      <c r="A19" s="440" t="s">
        <v>18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</row>
    <row r="20" spans="1:76" s="5" customFormat="1" ht="17.25" customHeight="1">
      <c r="A20" s="429" t="s">
        <v>19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30"/>
      <c r="AF20" s="425" t="s">
        <v>20</v>
      </c>
      <c r="AG20" s="425"/>
      <c r="AH20" s="425"/>
      <c r="AI20" s="425"/>
      <c r="AJ20" s="425" t="s">
        <v>202</v>
      </c>
      <c r="AK20" s="425"/>
      <c r="AL20" s="425"/>
      <c r="AM20" s="425"/>
      <c r="AN20" s="425"/>
      <c r="AO20" s="425"/>
      <c r="AP20" s="425"/>
      <c r="AQ20" s="425"/>
      <c r="AR20" s="425" t="s">
        <v>203</v>
      </c>
      <c r="AS20" s="425"/>
      <c r="AT20" s="425"/>
      <c r="AU20" s="425"/>
      <c r="AV20" s="425"/>
      <c r="AW20" s="436" t="s">
        <v>21</v>
      </c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</row>
    <row r="21" spans="1:76" s="5" customFormat="1" ht="16.5" customHeight="1">
      <c r="A21" s="431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2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34" t="s">
        <v>22</v>
      </c>
      <c r="AX21" s="435"/>
      <c r="AY21" s="435"/>
      <c r="AZ21" s="422" t="s">
        <v>273</v>
      </c>
      <c r="BA21" s="422"/>
      <c r="BB21" s="423" t="s">
        <v>56</v>
      </c>
      <c r="BC21" s="424"/>
      <c r="BD21" s="441" t="s">
        <v>22</v>
      </c>
      <c r="BE21" s="441"/>
      <c r="BF21" s="441"/>
      <c r="BG21" s="442" t="s">
        <v>521</v>
      </c>
      <c r="BH21" s="442"/>
      <c r="BI21" s="443" t="s">
        <v>56</v>
      </c>
      <c r="BJ21" s="443"/>
      <c r="BK21" s="434" t="s">
        <v>22</v>
      </c>
      <c r="BL21" s="435"/>
      <c r="BM21" s="435"/>
      <c r="BN21" s="422" t="s">
        <v>544</v>
      </c>
      <c r="BO21" s="422"/>
      <c r="BP21" s="423" t="s">
        <v>56</v>
      </c>
      <c r="BQ21" s="424"/>
      <c r="BR21" s="438" t="s">
        <v>24</v>
      </c>
      <c r="BS21" s="438"/>
      <c r="BT21" s="438"/>
      <c r="BU21" s="438"/>
      <c r="BV21" s="438"/>
      <c r="BW21" s="438"/>
      <c r="BX21" s="438"/>
    </row>
    <row r="22" spans="1:76" s="5" customFormat="1" ht="39" customHeight="1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8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6" t="s">
        <v>23</v>
      </c>
      <c r="AX22" s="427"/>
      <c r="AY22" s="427"/>
      <c r="AZ22" s="427"/>
      <c r="BA22" s="427"/>
      <c r="BB22" s="427"/>
      <c r="BC22" s="428"/>
      <c r="BD22" s="439" t="s">
        <v>26</v>
      </c>
      <c r="BE22" s="427"/>
      <c r="BF22" s="427"/>
      <c r="BG22" s="427"/>
      <c r="BH22" s="427"/>
      <c r="BI22" s="427"/>
      <c r="BJ22" s="427"/>
      <c r="BK22" s="426" t="s">
        <v>25</v>
      </c>
      <c r="BL22" s="427"/>
      <c r="BM22" s="427"/>
      <c r="BN22" s="427"/>
      <c r="BO22" s="427"/>
      <c r="BP22" s="427"/>
      <c r="BQ22" s="428"/>
      <c r="BR22" s="439"/>
      <c r="BS22" s="439"/>
      <c r="BT22" s="439"/>
      <c r="BU22" s="439"/>
      <c r="BV22" s="439"/>
      <c r="BW22" s="439"/>
      <c r="BX22" s="439"/>
    </row>
    <row r="23" spans="1:76" s="5" customFormat="1" ht="12.75" thickBot="1">
      <c r="A23" s="419">
        <v>1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1">
        <v>2</v>
      </c>
      <c r="AG23" s="421"/>
      <c r="AH23" s="421"/>
      <c r="AI23" s="421"/>
      <c r="AJ23" s="421">
        <v>3</v>
      </c>
      <c r="AK23" s="421"/>
      <c r="AL23" s="421"/>
      <c r="AM23" s="421"/>
      <c r="AN23" s="421"/>
      <c r="AO23" s="421"/>
      <c r="AP23" s="421"/>
      <c r="AQ23" s="421"/>
      <c r="AR23" s="421">
        <v>4</v>
      </c>
      <c r="AS23" s="421"/>
      <c r="AT23" s="421"/>
      <c r="AU23" s="421"/>
      <c r="AV23" s="421"/>
      <c r="AW23" s="421">
        <v>5</v>
      </c>
      <c r="AX23" s="421"/>
      <c r="AY23" s="421"/>
      <c r="AZ23" s="421"/>
      <c r="BA23" s="421"/>
      <c r="BB23" s="421"/>
      <c r="BC23" s="421"/>
      <c r="BD23" s="421">
        <v>6</v>
      </c>
      <c r="BE23" s="421"/>
      <c r="BF23" s="421"/>
      <c r="BG23" s="421"/>
      <c r="BH23" s="421"/>
      <c r="BI23" s="421"/>
      <c r="BJ23" s="421"/>
      <c r="BK23" s="421">
        <v>7</v>
      </c>
      <c r="BL23" s="421"/>
      <c r="BM23" s="421"/>
      <c r="BN23" s="421"/>
      <c r="BO23" s="421"/>
      <c r="BP23" s="421"/>
      <c r="BQ23" s="421"/>
      <c r="BR23" s="421">
        <v>8</v>
      </c>
      <c r="BS23" s="421"/>
      <c r="BT23" s="421"/>
      <c r="BU23" s="421"/>
      <c r="BV23" s="421"/>
      <c r="BW23" s="421"/>
      <c r="BX23" s="433"/>
    </row>
    <row r="24" spans="1:76" s="5" customFormat="1" ht="13.5">
      <c r="A24" s="460" t="s">
        <v>59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2"/>
      <c r="AF24" s="449" t="s">
        <v>30</v>
      </c>
      <c r="AG24" s="450"/>
      <c r="AH24" s="450"/>
      <c r="AI24" s="450"/>
      <c r="AJ24" s="450" t="s">
        <v>34</v>
      </c>
      <c r="AK24" s="450"/>
      <c r="AL24" s="450"/>
      <c r="AM24" s="450"/>
      <c r="AN24" s="450"/>
      <c r="AO24" s="450"/>
      <c r="AP24" s="450"/>
      <c r="AQ24" s="450"/>
      <c r="AR24" s="450" t="s">
        <v>34</v>
      </c>
      <c r="AS24" s="450"/>
      <c r="AT24" s="450"/>
      <c r="AU24" s="450"/>
      <c r="AV24" s="450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7"/>
    </row>
    <row r="25" spans="1:76" s="5" customFormat="1" ht="13.5">
      <c r="A25" s="460" t="s">
        <v>204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2"/>
      <c r="AF25" s="329" t="s">
        <v>31</v>
      </c>
      <c r="AG25" s="325"/>
      <c r="AH25" s="325"/>
      <c r="AI25" s="325"/>
      <c r="AJ25" s="325" t="s">
        <v>34</v>
      </c>
      <c r="AK25" s="325"/>
      <c r="AL25" s="325"/>
      <c r="AM25" s="325"/>
      <c r="AN25" s="325"/>
      <c r="AO25" s="325"/>
      <c r="AP25" s="325"/>
      <c r="AQ25" s="325"/>
      <c r="AR25" s="325" t="s">
        <v>34</v>
      </c>
      <c r="AS25" s="325"/>
      <c r="AT25" s="325"/>
      <c r="AU25" s="325"/>
      <c r="AV25" s="325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1"/>
    </row>
    <row r="26" spans="1:76" s="5" customFormat="1" ht="12.75">
      <c r="A26" s="457" t="s">
        <v>27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9"/>
      <c r="AF26" s="451" t="s">
        <v>32</v>
      </c>
      <c r="AG26" s="452"/>
      <c r="AH26" s="452"/>
      <c r="AI26" s="452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38">
        <f>AW30+AW37</f>
        <v>38985880.14</v>
      </c>
      <c r="AX26" s="338"/>
      <c r="AY26" s="338"/>
      <c r="AZ26" s="338"/>
      <c r="BA26" s="338"/>
      <c r="BB26" s="338"/>
      <c r="BC26" s="338"/>
      <c r="BD26" s="338">
        <f>BD30+BD37</f>
        <v>39567915</v>
      </c>
      <c r="BE26" s="338"/>
      <c r="BF26" s="338"/>
      <c r="BG26" s="338"/>
      <c r="BH26" s="338"/>
      <c r="BI26" s="338"/>
      <c r="BJ26" s="338"/>
      <c r="BK26" s="338">
        <f>BK30+BK37</f>
        <v>40366940</v>
      </c>
      <c r="BL26" s="338"/>
      <c r="BM26" s="338"/>
      <c r="BN26" s="338"/>
      <c r="BO26" s="338"/>
      <c r="BP26" s="338"/>
      <c r="BQ26" s="338"/>
      <c r="BR26" s="320"/>
      <c r="BS26" s="320"/>
      <c r="BT26" s="320"/>
      <c r="BU26" s="320"/>
      <c r="BV26" s="320"/>
      <c r="BW26" s="320"/>
      <c r="BX26" s="321"/>
    </row>
    <row r="27" spans="1:76" s="5" customFormat="1" ht="23.25" customHeight="1">
      <c r="A27" s="444" t="s">
        <v>28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5"/>
      <c r="AF27" s="453" t="s">
        <v>33</v>
      </c>
      <c r="AG27" s="454"/>
      <c r="AH27" s="454"/>
      <c r="AI27" s="455"/>
      <c r="AJ27" s="456" t="s">
        <v>35</v>
      </c>
      <c r="AK27" s="454"/>
      <c r="AL27" s="454"/>
      <c r="AM27" s="454"/>
      <c r="AN27" s="454"/>
      <c r="AO27" s="454"/>
      <c r="AP27" s="454"/>
      <c r="AQ27" s="455"/>
      <c r="AR27" s="456"/>
      <c r="AS27" s="454"/>
      <c r="AT27" s="454"/>
      <c r="AU27" s="454"/>
      <c r="AV27" s="455"/>
      <c r="AW27" s="464"/>
      <c r="AX27" s="465"/>
      <c r="AY27" s="465"/>
      <c r="AZ27" s="465"/>
      <c r="BA27" s="465"/>
      <c r="BB27" s="465"/>
      <c r="BC27" s="466"/>
      <c r="BD27" s="464"/>
      <c r="BE27" s="465"/>
      <c r="BF27" s="465"/>
      <c r="BG27" s="465"/>
      <c r="BH27" s="465"/>
      <c r="BI27" s="465"/>
      <c r="BJ27" s="466"/>
      <c r="BK27" s="464"/>
      <c r="BL27" s="465"/>
      <c r="BM27" s="465"/>
      <c r="BN27" s="465"/>
      <c r="BO27" s="465"/>
      <c r="BP27" s="465"/>
      <c r="BQ27" s="466"/>
      <c r="BR27" s="373"/>
      <c r="BS27" s="374"/>
      <c r="BT27" s="374"/>
      <c r="BU27" s="374"/>
      <c r="BV27" s="374"/>
      <c r="BW27" s="374"/>
      <c r="BX27" s="375"/>
    </row>
    <row r="28" spans="1:76" s="5" customFormat="1" ht="12">
      <c r="A28" s="446" t="s">
        <v>29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8"/>
      <c r="AF28" s="356" t="s">
        <v>57</v>
      </c>
      <c r="AG28" s="351"/>
      <c r="AH28" s="351"/>
      <c r="AI28" s="352"/>
      <c r="AJ28" s="350"/>
      <c r="AK28" s="351"/>
      <c r="AL28" s="351"/>
      <c r="AM28" s="351"/>
      <c r="AN28" s="351"/>
      <c r="AO28" s="351"/>
      <c r="AP28" s="351"/>
      <c r="AQ28" s="352"/>
      <c r="AR28" s="350"/>
      <c r="AS28" s="351"/>
      <c r="AT28" s="351"/>
      <c r="AU28" s="351"/>
      <c r="AV28" s="352"/>
      <c r="AW28" s="345"/>
      <c r="AX28" s="346"/>
      <c r="AY28" s="346"/>
      <c r="AZ28" s="346"/>
      <c r="BA28" s="346"/>
      <c r="BB28" s="346"/>
      <c r="BC28" s="347"/>
      <c r="BD28" s="345"/>
      <c r="BE28" s="346"/>
      <c r="BF28" s="346"/>
      <c r="BG28" s="346"/>
      <c r="BH28" s="346"/>
      <c r="BI28" s="346"/>
      <c r="BJ28" s="347"/>
      <c r="BK28" s="345"/>
      <c r="BL28" s="346"/>
      <c r="BM28" s="346"/>
      <c r="BN28" s="346"/>
      <c r="BO28" s="346"/>
      <c r="BP28" s="346"/>
      <c r="BQ28" s="347"/>
      <c r="BR28" s="353"/>
      <c r="BS28" s="354"/>
      <c r="BT28" s="354"/>
      <c r="BU28" s="354"/>
      <c r="BV28" s="354"/>
      <c r="BW28" s="354"/>
      <c r="BX28" s="355"/>
    </row>
    <row r="29" spans="1:76" s="5" customFormat="1" ht="12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9"/>
      <c r="AF29" s="475"/>
      <c r="AG29" s="476"/>
      <c r="AH29" s="476"/>
      <c r="AI29" s="477"/>
      <c r="AJ29" s="480"/>
      <c r="AK29" s="476"/>
      <c r="AL29" s="476"/>
      <c r="AM29" s="476"/>
      <c r="AN29" s="476"/>
      <c r="AO29" s="476"/>
      <c r="AP29" s="476"/>
      <c r="AQ29" s="477"/>
      <c r="AR29" s="480"/>
      <c r="AS29" s="476"/>
      <c r="AT29" s="476"/>
      <c r="AU29" s="476"/>
      <c r="AV29" s="477"/>
      <c r="AW29" s="383"/>
      <c r="AX29" s="384"/>
      <c r="AY29" s="384"/>
      <c r="AZ29" s="384"/>
      <c r="BA29" s="384"/>
      <c r="BB29" s="384"/>
      <c r="BC29" s="385"/>
      <c r="BD29" s="383"/>
      <c r="BE29" s="384"/>
      <c r="BF29" s="384"/>
      <c r="BG29" s="384"/>
      <c r="BH29" s="384"/>
      <c r="BI29" s="384"/>
      <c r="BJ29" s="385"/>
      <c r="BK29" s="383"/>
      <c r="BL29" s="384"/>
      <c r="BM29" s="384"/>
      <c r="BN29" s="384"/>
      <c r="BO29" s="384"/>
      <c r="BP29" s="384"/>
      <c r="BQ29" s="385"/>
      <c r="BR29" s="370"/>
      <c r="BS29" s="371"/>
      <c r="BT29" s="371"/>
      <c r="BU29" s="371"/>
      <c r="BV29" s="371"/>
      <c r="BW29" s="371"/>
      <c r="BX29" s="372"/>
    </row>
    <row r="30" spans="1:76" s="5" customFormat="1" ht="12.75">
      <c r="A30" s="468" t="s">
        <v>36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9"/>
      <c r="AF30" s="329" t="s">
        <v>38</v>
      </c>
      <c r="AG30" s="325"/>
      <c r="AH30" s="325"/>
      <c r="AI30" s="325"/>
      <c r="AJ30" s="325" t="s">
        <v>37</v>
      </c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38">
        <f>AW31</f>
        <v>34140730</v>
      </c>
      <c r="AX30" s="338"/>
      <c r="AY30" s="338"/>
      <c r="AZ30" s="338"/>
      <c r="BA30" s="338"/>
      <c r="BB30" s="338"/>
      <c r="BC30" s="338"/>
      <c r="BD30" s="338">
        <f>BD31</f>
        <v>36944395</v>
      </c>
      <c r="BE30" s="338"/>
      <c r="BF30" s="338"/>
      <c r="BG30" s="338"/>
      <c r="BH30" s="338"/>
      <c r="BI30" s="338"/>
      <c r="BJ30" s="338"/>
      <c r="BK30" s="338">
        <f>BK31</f>
        <v>37735644</v>
      </c>
      <c r="BL30" s="338"/>
      <c r="BM30" s="338"/>
      <c r="BN30" s="338"/>
      <c r="BO30" s="338"/>
      <c r="BP30" s="338"/>
      <c r="BQ30" s="338"/>
      <c r="BR30" s="320"/>
      <c r="BS30" s="320"/>
      <c r="BT30" s="320"/>
      <c r="BU30" s="320"/>
      <c r="BV30" s="320"/>
      <c r="BW30" s="320"/>
      <c r="BX30" s="321"/>
    </row>
    <row r="31" spans="1:76" s="5" customFormat="1" ht="48.75" customHeight="1">
      <c r="A31" s="348" t="s">
        <v>58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9"/>
      <c r="AF31" s="329" t="s">
        <v>39</v>
      </c>
      <c r="AG31" s="325"/>
      <c r="AH31" s="325"/>
      <c r="AI31" s="325"/>
      <c r="AJ31" s="325" t="s">
        <v>37</v>
      </c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76">
        <v>34140730</v>
      </c>
      <c r="AX31" s="376"/>
      <c r="AY31" s="376"/>
      <c r="AZ31" s="376"/>
      <c r="BA31" s="376"/>
      <c r="BB31" s="376"/>
      <c r="BC31" s="376"/>
      <c r="BD31" s="338">
        <v>36944395</v>
      </c>
      <c r="BE31" s="338"/>
      <c r="BF31" s="338"/>
      <c r="BG31" s="338"/>
      <c r="BH31" s="338"/>
      <c r="BI31" s="338"/>
      <c r="BJ31" s="338"/>
      <c r="BK31" s="338">
        <v>37735644</v>
      </c>
      <c r="BL31" s="338"/>
      <c r="BM31" s="338"/>
      <c r="BN31" s="338"/>
      <c r="BO31" s="338"/>
      <c r="BP31" s="338"/>
      <c r="BQ31" s="338"/>
      <c r="BR31" s="320"/>
      <c r="BS31" s="320"/>
      <c r="BT31" s="320"/>
      <c r="BU31" s="320"/>
      <c r="BV31" s="320"/>
      <c r="BW31" s="320"/>
      <c r="BX31" s="321"/>
    </row>
    <row r="32" spans="1:76" s="5" customFormat="1" ht="36" customHeight="1">
      <c r="A32" s="348" t="s">
        <v>60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9"/>
      <c r="AF32" s="329" t="s">
        <v>40</v>
      </c>
      <c r="AG32" s="325"/>
      <c r="AH32" s="325"/>
      <c r="AI32" s="325"/>
      <c r="AJ32" s="325" t="s">
        <v>37</v>
      </c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76"/>
      <c r="AX32" s="376"/>
      <c r="AY32" s="376"/>
      <c r="AZ32" s="376"/>
      <c r="BA32" s="376"/>
      <c r="BB32" s="376"/>
      <c r="BC32" s="376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20"/>
      <c r="BS32" s="320"/>
      <c r="BT32" s="320"/>
      <c r="BU32" s="320"/>
      <c r="BV32" s="320"/>
      <c r="BW32" s="320"/>
      <c r="BX32" s="321"/>
    </row>
    <row r="33" spans="1:76" s="5" customFormat="1" ht="12.7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4"/>
      <c r="AF33" s="453"/>
      <c r="AG33" s="454"/>
      <c r="AH33" s="454"/>
      <c r="AI33" s="455"/>
      <c r="AJ33" s="456"/>
      <c r="AK33" s="454"/>
      <c r="AL33" s="454"/>
      <c r="AM33" s="454"/>
      <c r="AN33" s="454"/>
      <c r="AO33" s="454"/>
      <c r="AP33" s="454"/>
      <c r="AQ33" s="455"/>
      <c r="AR33" s="456"/>
      <c r="AS33" s="454"/>
      <c r="AT33" s="454"/>
      <c r="AU33" s="454"/>
      <c r="AV33" s="455"/>
      <c r="AW33" s="470"/>
      <c r="AX33" s="471"/>
      <c r="AY33" s="471"/>
      <c r="AZ33" s="471"/>
      <c r="BA33" s="471"/>
      <c r="BB33" s="471"/>
      <c r="BC33" s="472"/>
      <c r="BD33" s="464"/>
      <c r="BE33" s="465"/>
      <c r="BF33" s="465"/>
      <c r="BG33" s="465"/>
      <c r="BH33" s="465"/>
      <c r="BI33" s="465"/>
      <c r="BJ33" s="466"/>
      <c r="BK33" s="464"/>
      <c r="BL33" s="465"/>
      <c r="BM33" s="465"/>
      <c r="BN33" s="465"/>
      <c r="BO33" s="465"/>
      <c r="BP33" s="465"/>
      <c r="BQ33" s="466"/>
      <c r="BR33" s="373"/>
      <c r="BS33" s="374"/>
      <c r="BT33" s="374"/>
      <c r="BU33" s="374"/>
      <c r="BV33" s="374"/>
      <c r="BW33" s="374"/>
      <c r="BX33" s="375"/>
    </row>
    <row r="34" spans="1:76" s="5" customFormat="1" ht="12.75">
      <c r="A34" s="444" t="s">
        <v>62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5"/>
      <c r="AF34" s="453" t="s">
        <v>41</v>
      </c>
      <c r="AG34" s="454"/>
      <c r="AH34" s="454"/>
      <c r="AI34" s="455"/>
      <c r="AJ34" s="456" t="s">
        <v>61</v>
      </c>
      <c r="AK34" s="454"/>
      <c r="AL34" s="454"/>
      <c r="AM34" s="454"/>
      <c r="AN34" s="454"/>
      <c r="AO34" s="454"/>
      <c r="AP34" s="454"/>
      <c r="AQ34" s="455"/>
      <c r="AR34" s="456"/>
      <c r="AS34" s="454"/>
      <c r="AT34" s="454"/>
      <c r="AU34" s="454"/>
      <c r="AV34" s="455"/>
      <c r="AW34" s="376"/>
      <c r="AX34" s="376"/>
      <c r="AY34" s="376"/>
      <c r="AZ34" s="376"/>
      <c r="BA34" s="376"/>
      <c r="BB34" s="376"/>
      <c r="BC34" s="376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20"/>
      <c r="BS34" s="320"/>
      <c r="BT34" s="320"/>
      <c r="BU34" s="320"/>
      <c r="BV34" s="320"/>
      <c r="BW34" s="320"/>
      <c r="BX34" s="321"/>
    </row>
    <row r="35" spans="1:76" s="5" customFormat="1" ht="12">
      <c r="A35" s="446" t="s">
        <v>29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8"/>
      <c r="AF35" s="356" t="s">
        <v>42</v>
      </c>
      <c r="AG35" s="351"/>
      <c r="AH35" s="351"/>
      <c r="AI35" s="352"/>
      <c r="AJ35" s="350" t="s">
        <v>61</v>
      </c>
      <c r="AK35" s="351"/>
      <c r="AL35" s="351"/>
      <c r="AM35" s="351"/>
      <c r="AN35" s="351"/>
      <c r="AO35" s="351"/>
      <c r="AP35" s="351"/>
      <c r="AQ35" s="352"/>
      <c r="AR35" s="350"/>
      <c r="AS35" s="351"/>
      <c r="AT35" s="351"/>
      <c r="AU35" s="351"/>
      <c r="AV35" s="352"/>
      <c r="AW35" s="377"/>
      <c r="AX35" s="378"/>
      <c r="AY35" s="378"/>
      <c r="AZ35" s="378"/>
      <c r="BA35" s="378"/>
      <c r="BB35" s="378"/>
      <c r="BC35" s="379"/>
      <c r="BD35" s="345"/>
      <c r="BE35" s="346"/>
      <c r="BF35" s="346"/>
      <c r="BG35" s="346"/>
      <c r="BH35" s="346"/>
      <c r="BI35" s="346"/>
      <c r="BJ35" s="347"/>
      <c r="BK35" s="345"/>
      <c r="BL35" s="346"/>
      <c r="BM35" s="346"/>
      <c r="BN35" s="346"/>
      <c r="BO35" s="346"/>
      <c r="BP35" s="346"/>
      <c r="BQ35" s="347"/>
      <c r="BR35" s="353"/>
      <c r="BS35" s="354"/>
      <c r="BT35" s="354"/>
      <c r="BU35" s="354"/>
      <c r="BV35" s="354"/>
      <c r="BW35" s="354"/>
      <c r="BX35" s="355"/>
    </row>
    <row r="36" spans="1:76" s="5" customFormat="1" ht="12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9"/>
      <c r="AF36" s="475"/>
      <c r="AG36" s="476"/>
      <c r="AH36" s="476"/>
      <c r="AI36" s="477"/>
      <c r="AJ36" s="480"/>
      <c r="AK36" s="476"/>
      <c r="AL36" s="476"/>
      <c r="AM36" s="476"/>
      <c r="AN36" s="476"/>
      <c r="AO36" s="476"/>
      <c r="AP36" s="476"/>
      <c r="AQ36" s="477"/>
      <c r="AR36" s="480"/>
      <c r="AS36" s="476"/>
      <c r="AT36" s="476"/>
      <c r="AU36" s="476"/>
      <c r="AV36" s="477"/>
      <c r="AW36" s="380"/>
      <c r="AX36" s="381"/>
      <c r="AY36" s="381"/>
      <c r="AZ36" s="381"/>
      <c r="BA36" s="381"/>
      <c r="BB36" s="381"/>
      <c r="BC36" s="382"/>
      <c r="BD36" s="383"/>
      <c r="BE36" s="384"/>
      <c r="BF36" s="384"/>
      <c r="BG36" s="384"/>
      <c r="BH36" s="384"/>
      <c r="BI36" s="384"/>
      <c r="BJ36" s="385"/>
      <c r="BK36" s="383"/>
      <c r="BL36" s="384"/>
      <c r="BM36" s="384"/>
      <c r="BN36" s="384"/>
      <c r="BO36" s="384"/>
      <c r="BP36" s="384"/>
      <c r="BQ36" s="385"/>
      <c r="BR36" s="370"/>
      <c r="BS36" s="371"/>
      <c r="BT36" s="371"/>
      <c r="BU36" s="371"/>
      <c r="BV36" s="371"/>
      <c r="BW36" s="371"/>
      <c r="BX36" s="372"/>
    </row>
    <row r="37" spans="1:76" s="5" customFormat="1" ht="12.75">
      <c r="A37" s="359" t="s">
        <v>63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1"/>
      <c r="AF37" s="329" t="s">
        <v>43</v>
      </c>
      <c r="AG37" s="325"/>
      <c r="AH37" s="325"/>
      <c r="AI37" s="325"/>
      <c r="AJ37" s="456" t="s">
        <v>65</v>
      </c>
      <c r="AK37" s="454"/>
      <c r="AL37" s="454"/>
      <c r="AM37" s="454"/>
      <c r="AN37" s="454"/>
      <c r="AO37" s="454"/>
      <c r="AP37" s="454"/>
      <c r="AQ37" s="455"/>
      <c r="AR37" s="325"/>
      <c r="AS37" s="325"/>
      <c r="AT37" s="325"/>
      <c r="AU37" s="325"/>
      <c r="AV37" s="325"/>
      <c r="AW37" s="376">
        <f>AW38</f>
        <v>4845150.14</v>
      </c>
      <c r="AX37" s="376"/>
      <c r="AY37" s="376"/>
      <c r="AZ37" s="376"/>
      <c r="BA37" s="376"/>
      <c r="BB37" s="376"/>
      <c r="BC37" s="376"/>
      <c r="BD37" s="338">
        <f>BD38</f>
        <v>2623520</v>
      </c>
      <c r="BE37" s="338"/>
      <c r="BF37" s="338"/>
      <c r="BG37" s="338"/>
      <c r="BH37" s="338"/>
      <c r="BI37" s="338"/>
      <c r="BJ37" s="338"/>
      <c r="BK37" s="338">
        <f>BK38</f>
        <v>2631296</v>
      </c>
      <c r="BL37" s="338"/>
      <c r="BM37" s="338"/>
      <c r="BN37" s="338"/>
      <c r="BO37" s="338"/>
      <c r="BP37" s="338"/>
      <c r="BQ37" s="338"/>
      <c r="BR37" s="320"/>
      <c r="BS37" s="320"/>
      <c r="BT37" s="320"/>
      <c r="BU37" s="320"/>
      <c r="BV37" s="320"/>
      <c r="BW37" s="320"/>
      <c r="BX37" s="321"/>
    </row>
    <row r="38" spans="1:76" s="5" customFormat="1" ht="12">
      <c r="A38" s="446" t="s">
        <v>29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8"/>
      <c r="AF38" s="356" t="s">
        <v>211</v>
      </c>
      <c r="AG38" s="351"/>
      <c r="AH38" s="351"/>
      <c r="AI38" s="352"/>
      <c r="AJ38" s="350" t="s">
        <v>65</v>
      </c>
      <c r="AK38" s="351"/>
      <c r="AL38" s="351"/>
      <c r="AM38" s="351"/>
      <c r="AN38" s="351"/>
      <c r="AO38" s="351"/>
      <c r="AP38" s="351"/>
      <c r="AQ38" s="352"/>
      <c r="AR38" s="350"/>
      <c r="AS38" s="351"/>
      <c r="AT38" s="351"/>
      <c r="AU38" s="351"/>
      <c r="AV38" s="352"/>
      <c r="AW38" s="377">
        <v>4845150.14</v>
      </c>
      <c r="AX38" s="378"/>
      <c r="AY38" s="378"/>
      <c r="AZ38" s="378"/>
      <c r="BA38" s="378"/>
      <c r="BB38" s="378"/>
      <c r="BC38" s="379"/>
      <c r="BD38" s="345">
        <v>2623520</v>
      </c>
      <c r="BE38" s="346"/>
      <c r="BF38" s="346"/>
      <c r="BG38" s="346"/>
      <c r="BH38" s="346"/>
      <c r="BI38" s="346"/>
      <c r="BJ38" s="347"/>
      <c r="BK38" s="345">
        <v>2631296</v>
      </c>
      <c r="BL38" s="346"/>
      <c r="BM38" s="346"/>
      <c r="BN38" s="346"/>
      <c r="BO38" s="346"/>
      <c r="BP38" s="346"/>
      <c r="BQ38" s="347"/>
      <c r="BR38" s="353"/>
      <c r="BS38" s="354"/>
      <c r="BT38" s="354"/>
      <c r="BU38" s="354"/>
      <c r="BV38" s="354"/>
      <c r="BW38" s="354"/>
      <c r="BX38" s="355"/>
    </row>
    <row r="39" spans="1:76" s="5" customFormat="1" ht="12">
      <c r="A39" s="478" t="s">
        <v>210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9"/>
      <c r="AF39" s="475"/>
      <c r="AG39" s="476"/>
      <c r="AH39" s="476"/>
      <c r="AI39" s="477"/>
      <c r="AJ39" s="480"/>
      <c r="AK39" s="476"/>
      <c r="AL39" s="476"/>
      <c r="AM39" s="476"/>
      <c r="AN39" s="476"/>
      <c r="AO39" s="476"/>
      <c r="AP39" s="476"/>
      <c r="AQ39" s="477"/>
      <c r="AR39" s="480"/>
      <c r="AS39" s="476"/>
      <c r="AT39" s="476"/>
      <c r="AU39" s="476"/>
      <c r="AV39" s="477"/>
      <c r="AW39" s="380"/>
      <c r="AX39" s="381"/>
      <c r="AY39" s="381"/>
      <c r="AZ39" s="381"/>
      <c r="BA39" s="381"/>
      <c r="BB39" s="381"/>
      <c r="BC39" s="382"/>
      <c r="BD39" s="383"/>
      <c r="BE39" s="384"/>
      <c r="BF39" s="384"/>
      <c r="BG39" s="384"/>
      <c r="BH39" s="384"/>
      <c r="BI39" s="384"/>
      <c r="BJ39" s="385"/>
      <c r="BK39" s="383"/>
      <c r="BL39" s="384"/>
      <c r="BM39" s="384"/>
      <c r="BN39" s="384"/>
      <c r="BO39" s="384"/>
      <c r="BP39" s="384"/>
      <c r="BQ39" s="385"/>
      <c r="BR39" s="370"/>
      <c r="BS39" s="371"/>
      <c r="BT39" s="371"/>
      <c r="BU39" s="371"/>
      <c r="BV39" s="371"/>
      <c r="BW39" s="371"/>
      <c r="BX39" s="372"/>
    </row>
    <row r="40" spans="1:76" s="5" customFormat="1" ht="12.75">
      <c r="A40" s="486" t="s">
        <v>212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7"/>
      <c r="AF40" s="453" t="s">
        <v>213</v>
      </c>
      <c r="AG40" s="454"/>
      <c r="AH40" s="454"/>
      <c r="AI40" s="455"/>
      <c r="AJ40" s="325" t="s">
        <v>65</v>
      </c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76"/>
      <c r="AX40" s="376"/>
      <c r="AY40" s="376"/>
      <c r="AZ40" s="376"/>
      <c r="BA40" s="376"/>
      <c r="BB40" s="376"/>
      <c r="BC40" s="376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20"/>
      <c r="BS40" s="320"/>
      <c r="BT40" s="320"/>
      <c r="BU40" s="320"/>
      <c r="BV40" s="320"/>
      <c r="BW40" s="320"/>
      <c r="BX40" s="321"/>
    </row>
    <row r="41" spans="1:76" s="5" customFormat="1" ht="12" customHeight="1">
      <c r="A41" s="322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4"/>
      <c r="AF41" s="329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20"/>
      <c r="BS41" s="320"/>
      <c r="BT41" s="320"/>
      <c r="BU41" s="320"/>
      <c r="BV41" s="320"/>
      <c r="BW41" s="320"/>
      <c r="BX41" s="321"/>
    </row>
    <row r="42" spans="1:76" s="5" customFormat="1" ht="12.75">
      <c r="A42" s="359" t="s">
        <v>64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1"/>
      <c r="AF42" s="329" t="s">
        <v>44</v>
      </c>
      <c r="AG42" s="325"/>
      <c r="AH42" s="325"/>
      <c r="AI42" s="325"/>
      <c r="AJ42" s="325" t="s">
        <v>66</v>
      </c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20"/>
      <c r="BS42" s="320"/>
      <c r="BT42" s="320"/>
      <c r="BU42" s="320"/>
      <c r="BV42" s="320"/>
      <c r="BW42" s="320"/>
      <c r="BX42" s="321"/>
    </row>
    <row r="43" spans="1:76" s="5" customFormat="1" ht="12">
      <c r="A43" s="322" t="s">
        <v>29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488"/>
      <c r="AF43" s="356"/>
      <c r="AG43" s="351"/>
      <c r="AH43" s="351"/>
      <c r="AI43" s="352"/>
      <c r="AJ43" s="350"/>
      <c r="AK43" s="351"/>
      <c r="AL43" s="351"/>
      <c r="AM43" s="351"/>
      <c r="AN43" s="351"/>
      <c r="AO43" s="351"/>
      <c r="AP43" s="351"/>
      <c r="AQ43" s="352"/>
      <c r="AR43" s="350"/>
      <c r="AS43" s="351"/>
      <c r="AT43" s="351"/>
      <c r="AU43" s="351"/>
      <c r="AV43" s="352"/>
      <c r="AW43" s="345"/>
      <c r="AX43" s="346"/>
      <c r="AY43" s="346"/>
      <c r="AZ43" s="346"/>
      <c r="BA43" s="346"/>
      <c r="BB43" s="346"/>
      <c r="BC43" s="347"/>
      <c r="BD43" s="345"/>
      <c r="BE43" s="346"/>
      <c r="BF43" s="346"/>
      <c r="BG43" s="346"/>
      <c r="BH43" s="346"/>
      <c r="BI43" s="346"/>
      <c r="BJ43" s="347"/>
      <c r="BK43" s="345"/>
      <c r="BL43" s="346"/>
      <c r="BM43" s="346"/>
      <c r="BN43" s="346"/>
      <c r="BO43" s="346"/>
      <c r="BP43" s="346"/>
      <c r="BQ43" s="347"/>
      <c r="BR43" s="353"/>
      <c r="BS43" s="354"/>
      <c r="BT43" s="354"/>
      <c r="BU43" s="354"/>
      <c r="BV43" s="354"/>
      <c r="BW43" s="354"/>
      <c r="BX43" s="355"/>
    </row>
    <row r="44" spans="1:76" s="5" customFormat="1" ht="12">
      <c r="A44" s="492"/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3"/>
      <c r="AF44" s="489"/>
      <c r="AG44" s="490"/>
      <c r="AH44" s="490"/>
      <c r="AI44" s="491"/>
      <c r="AJ44" s="480"/>
      <c r="AK44" s="476"/>
      <c r="AL44" s="476"/>
      <c r="AM44" s="476"/>
      <c r="AN44" s="476"/>
      <c r="AO44" s="476"/>
      <c r="AP44" s="476"/>
      <c r="AQ44" s="477"/>
      <c r="AR44" s="480"/>
      <c r="AS44" s="476"/>
      <c r="AT44" s="476"/>
      <c r="AU44" s="476"/>
      <c r="AV44" s="477"/>
      <c r="AW44" s="383"/>
      <c r="AX44" s="384"/>
      <c r="AY44" s="384"/>
      <c r="AZ44" s="384"/>
      <c r="BA44" s="384"/>
      <c r="BB44" s="384"/>
      <c r="BC44" s="385"/>
      <c r="BD44" s="383"/>
      <c r="BE44" s="384"/>
      <c r="BF44" s="384"/>
      <c r="BG44" s="384"/>
      <c r="BH44" s="384"/>
      <c r="BI44" s="384"/>
      <c r="BJ44" s="385"/>
      <c r="BK44" s="383"/>
      <c r="BL44" s="384"/>
      <c r="BM44" s="384"/>
      <c r="BN44" s="384"/>
      <c r="BO44" s="384"/>
      <c r="BP44" s="384"/>
      <c r="BQ44" s="385"/>
      <c r="BR44" s="370"/>
      <c r="BS44" s="371"/>
      <c r="BT44" s="371"/>
      <c r="BU44" s="371"/>
      <c r="BV44" s="371"/>
      <c r="BW44" s="371"/>
      <c r="BX44" s="372"/>
    </row>
    <row r="45" spans="1:76" s="5" customFormat="1" ht="12.75">
      <c r="A45" s="359" t="s">
        <v>67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1"/>
      <c r="AF45" s="329" t="s">
        <v>45</v>
      </c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20"/>
      <c r="BS45" s="320"/>
      <c r="BT45" s="320"/>
      <c r="BU45" s="320"/>
      <c r="BV45" s="320"/>
      <c r="BW45" s="320"/>
      <c r="BX45" s="321"/>
    </row>
    <row r="46" spans="1:76" s="5" customFormat="1" ht="12">
      <c r="A46" s="322" t="s">
        <v>29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488"/>
      <c r="AF46" s="356"/>
      <c r="AG46" s="351"/>
      <c r="AH46" s="351"/>
      <c r="AI46" s="352"/>
      <c r="AJ46" s="350"/>
      <c r="AK46" s="351"/>
      <c r="AL46" s="351"/>
      <c r="AM46" s="351"/>
      <c r="AN46" s="351"/>
      <c r="AO46" s="351"/>
      <c r="AP46" s="351"/>
      <c r="AQ46" s="352"/>
      <c r="AR46" s="350"/>
      <c r="AS46" s="351"/>
      <c r="AT46" s="351"/>
      <c r="AU46" s="351"/>
      <c r="AV46" s="352"/>
      <c r="AW46" s="345"/>
      <c r="AX46" s="346"/>
      <c r="AY46" s="346"/>
      <c r="AZ46" s="346"/>
      <c r="BA46" s="346"/>
      <c r="BB46" s="346"/>
      <c r="BC46" s="347"/>
      <c r="BD46" s="345"/>
      <c r="BE46" s="346"/>
      <c r="BF46" s="346"/>
      <c r="BG46" s="346"/>
      <c r="BH46" s="346"/>
      <c r="BI46" s="346"/>
      <c r="BJ46" s="347"/>
      <c r="BK46" s="345"/>
      <c r="BL46" s="346"/>
      <c r="BM46" s="346"/>
      <c r="BN46" s="346"/>
      <c r="BO46" s="346"/>
      <c r="BP46" s="346"/>
      <c r="BQ46" s="347"/>
      <c r="BR46" s="353"/>
      <c r="BS46" s="354"/>
      <c r="BT46" s="354"/>
      <c r="BU46" s="354"/>
      <c r="BV46" s="354"/>
      <c r="BW46" s="354"/>
      <c r="BX46" s="355"/>
    </row>
    <row r="47" spans="1:76" s="5" customFormat="1" ht="12">
      <c r="A47" s="492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3"/>
      <c r="AF47" s="489"/>
      <c r="AG47" s="490"/>
      <c r="AH47" s="490"/>
      <c r="AI47" s="491"/>
      <c r="AJ47" s="480"/>
      <c r="AK47" s="476"/>
      <c r="AL47" s="476"/>
      <c r="AM47" s="476"/>
      <c r="AN47" s="476"/>
      <c r="AO47" s="476"/>
      <c r="AP47" s="476"/>
      <c r="AQ47" s="477"/>
      <c r="AR47" s="480"/>
      <c r="AS47" s="476"/>
      <c r="AT47" s="476"/>
      <c r="AU47" s="476"/>
      <c r="AV47" s="477"/>
      <c r="AW47" s="383"/>
      <c r="AX47" s="384"/>
      <c r="AY47" s="384"/>
      <c r="AZ47" s="384"/>
      <c r="BA47" s="384"/>
      <c r="BB47" s="384"/>
      <c r="BC47" s="385"/>
      <c r="BD47" s="383"/>
      <c r="BE47" s="384"/>
      <c r="BF47" s="384"/>
      <c r="BG47" s="384"/>
      <c r="BH47" s="384"/>
      <c r="BI47" s="384"/>
      <c r="BJ47" s="385"/>
      <c r="BK47" s="383"/>
      <c r="BL47" s="384"/>
      <c r="BM47" s="384"/>
      <c r="BN47" s="384"/>
      <c r="BO47" s="384"/>
      <c r="BP47" s="384"/>
      <c r="BQ47" s="385"/>
      <c r="BR47" s="370"/>
      <c r="BS47" s="371"/>
      <c r="BT47" s="371"/>
      <c r="BU47" s="371"/>
      <c r="BV47" s="371"/>
      <c r="BW47" s="371"/>
      <c r="BX47" s="372"/>
    </row>
    <row r="48" spans="1:76" s="5" customFormat="1" ht="12.75">
      <c r="A48" s="481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3"/>
      <c r="AF48" s="453"/>
      <c r="AG48" s="454"/>
      <c r="AH48" s="454"/>
      <c r="AI48" s="45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20"/>
      <c r="BS48" s="320"/>
      <c r="BT48" s="320"/>
      <c r="BU48" s="320"/>
      <c r="BV48" s="320"/>
      <c r="BW48" s="320"/>
      <c r="BX48" s="321"/>
    </row>
    <row r="49" spans="1:76" s="5" customFormat="1" ht="12.75">
      <c r="A49" s="359" t="s">
        <v>156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1"/>
      <c r="AF49" s="329" t="s">
        <v>46</v>
      </c>
      <c r="AG49" s="325"/>
      <c r="AH49" s="325"/>
      <c r="AI49" s="325"/>
      <c r="AJ49" s="325" t="s">
        <v>34</v>
      </c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20"/>
      <c r="BS49" s="320"/>
      <c r="BT49" s="320"/>
      <c r="BU49" s="320"/>
      <c r="BV49" s="320"/>
      <c r="BW49" s="320"/>
      <c r="BX49" s="321"/>
    </row>
    <row r="50" spans="1:76" s="5" customFormat="1" ht="35.25" customHeight="1">
      <c r="A50" s="322" t="s">
        <v>72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4"/>
      <c r="AF50" s="329" t="s">
        <v>47</v>
      </c>
      <c r="AG50" s="325"/>
      <c r="AH50" s="325"/>
      <c r="AI50" s="325"/>
      <c r="AJ50" s="325" t="s">
        <v>74</v>
      </c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20" t="s">
        <v>34</v>
      </c>
      <c r="BS50" s="320"/>
      <c r="BT50" s="320"/>
      <c r="BU50" s="320"/>
      <c r="BV50" s="320"/>
      <c r="BW50" s="320"/>
      <c r="BX50" s="321"/>
    </row>
    <row r="51" spans="1:76" s="5" customFormat="1" ht="12.75">
      <c r="A51" s="497"/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9"/>
      <c r="AF51" s="453"/>
      <c r="AG51" s="454"/>
      <c r="AH51" s="454"/>
      <c r="AI51" s="45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20"/>
      <c r="BS51" s="320"/>
      <c r="BT51" s="320"/>
      <c r="BU51" s="320"/>
      <c r="BV51" s="320"/>
      <c r="BW51" s="320"/>
      <c r="BX51" s="321"/>
    </row>
    <row r="52" spans="1:76" s="5" customFormat="1" ht="12.75">
      <c r="A52" s="494" t="s">
        <v>73</v>
      </c>
      <c r="B52" s="495"/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6"/>
      <c r="AF52" s="331" t="s">
        <v>48</v>
      </c>
      <c r="AG52" s="330"/>
      <c r="AH52" s="330"/>
      <c r="AI52" s="330"/>
      <c r="AJ52" s="330" t="s">
        <v>34</v>
      </c>
      <c r="AK52" s="330"/>
      <c r="AL52" s="330"/>
      <c r="AM52" s="330"/>
      <c r="AN52" s="330"/>
      <c r="AO52" s="330"/>
      <c r="AP52" s="330"/>
      <c r="AQ52" s="330"/>
      <c r="AR52" s="325"/>
      <c r="AS52" s="325"/>
      <c r="AT52" s="325"/>
      <c r="AU52" s="325"/>
      <c r="AV52" s="325"/>
      <c r="AW52" s="338">
        <f>AW53+AW57+AW65+AW71+AW85</f>
        <v>38985880.138110004</v>
      </c>
      <c r="AX52" s="338"/>
      <c r="AY52" s="338"/>
      <c r="AZ52" s="338"/>
      <c r="BA52" s="338"/>
      <c r="BB52" s="338"/>
      <c r="BC52" s="338"/>
      <c r="BD52" s="338">
        <f>BD53+BD57+BD65+BD71+BD85</f>
        <v>39567915</v>
      </c>
      <c r="BE52" s="338"/>
      <c r="BF52" s="338"/>
      <c r="BG52" s="338"/>
      <c r="BH52" s="338"/>
      <c r="BI52" s="338"/>
      <c r="BJ52" s="338"/>
      <c r="BK52" s="338">
        <f>BK53+BK57+BK65+BK71+BK85</f>
        <v>40366940</v>
      </c>
      <c r="BL52" s="338"/>
      <c r="BM52" s="338"/>
      <c r="BN52" s="338"/>
      <c r="BO52" s="338"/>
      <c r="BP52" s="338"/>
      <c r="BQ52" s="338"/>
      <c r="BR52" s="320"/>
      <c r="BS52" s="320"/>
      <c r="BT52" s="320"/>
      <c r="BU52" s="320"/>
      <c r="BV52" s="320"/>
      <c r="BW52" s="320"/>
      <c r="BX52" s="321"/>
    </row>
    <row r="53" spans="1:76" s="5" customFormat="1" ht="21.75" customHeight="1">
      <c r="A53" s="359" t="s">
        <v>75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1"/>
      <c r="AF53" s="329" t="s">
        <v>49</v>
      </c>
      <c r="AG53" s="325"/>
      <c r="AH53" s="325"/>
      <c r="AI53" s="325"/>
      <c r="AJ53" s="325" t="s">
        <v>34</v>
      </c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38">
        <f>AW54+AW55</f>
        <v>26661588.00055</v>
      </c>
      <c r="AX53" s="338"/>
      <c r="AY53" s="338"/>
      <c r="AZ53" s="338"/>
      <c r="BA53" s="338"/>
      <c r="BB53" s="338"/>
      <c r="BC53" s="338"/>
      <c r="BD53" s="338">
        <f>BD54+BD55</f>
        <v>27290712</v>
      </c>
      <c r="BE53" s="338"/>
      <c r="BF53" s="338"/>
      <c r="BG53" s="338"/>
      <c r="BH53" s="338"/>
      <c r="BI53" s="338"/>
      <c r="BJ53" s="338"/>
      <c r="BK53" s="338">
        <f>BK54+BK55</f>
        <v>28147649</v>
      </c>
      <c r="BL53" s="338"/>
      <c r="BM53" s="338"/>
      <c r="BN53" s="338"/>
      <c r="BO53" s="338"/>
      <c r="BP53" s="338"/>
      <c r="BQ53" s="338"/>
      <c r="BR53" s="320" t="s">
        <v>34</v>
      </c>
      <c r="BS53" s="320"/>
      <c r="BT53" s="320"/>
      <c r="BU53" s="320"/>
      <c r="BV53" s="320"/>
      <c r="BW53" s="320"/>
      <c r="BX53" s="321"/>
    </row>
    <row r="54" spans="1:76" s="5" customFormat="1" ht="24" customHeight="1">
      <c r="A54" s="348" t="s">
        <v>76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9"/>
      <c r="AF54" s="329" t="s">
        <v>50</v>
      </c>
      <c r="AG54" s="325"/>
      <c r="AH54" s="325"/>
      <c r="AI54" s="325"/>
      <c r="AJ54" s="325" t="s">
        <v>81</v>
      </c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38">
        <f>'ЗП МЗ'!K31+'ЗП ИЦ'!EA24</f>
        <v>25427188.00055</v>
      </c>
      <c r="AX54" s="338"/>
      <c r="AY54" s="338"/>
      <c r="AZ54" s="338"/>
      <c r="BA54" s="338"/>
      <c r="BB54" s="338"/>
      <c r="BC54" s="338"/>
      <c r="BD54" s="338">
        <f>12857052+12240640+512040+88000+358580</f>
        <v>26056312</v>
      </c>
      <c r="BE54" s="338"/>
      <c r="BF54" s="338"/>
      <c r="BG54" s="338"/>
      <c r="BH54" s="338"/>
      <c r="BI54" s="338"/>
      <c r="BJ54" s="338"/>
      <c r="BK54" s="338">
        <f>13417819+13067320+531530+358580+88000</f>
        <v>27463249</v>
      </c>
      <c r="BL54" s="338"/>
      <c r="BM54" s="338"/>
      <c r="BN54" s="338"/>
      <c r="BO54" s="338"/>
      <c r="BP54" s="338"/>
      <c r="BQ54" s="338"/>
      <c r="BR54" s="320" t="s">
        <v>34</v>
      </c>
      <c r="BS54" s="320"/>
      <c r="BT54" s="320"/>
      <c r="BU54" s="320"/>
      <c r="BV54" s="320"/>
      <c r="BW54" s="320"/>
      <c r="BX54" s="321"/>
    </row>
    <row r="55" spans="1:76" s="5" customFormat="1" ht="12.75">
      <c r="A55" s="484" t="s">
        <v>77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5"/>
      <c r="AF55" s="329" t="s">
        <v>51</v>
      </c>
      <c r="AG55" s="325"/>
      <c r="AH55" s="325"/>
      <c r="AI55" s="325"/>
      <c r="AJ55" s="325" t="s">
        <v>82</v>
      </c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38">
        <f>'ПВ МЗ'!G21+'ПВ МЗ'!G34+'ПВ МЗ'!F9+'ПВ ИЦ'!H9</f>
        <v>1234400</v>
      </c>
      <c r="AX55" s="338"/>
      <c r="AY55" s="338"/>
      <c r="AZ55" s="338"/>
      <c r="BA55" s="338"/>
      <c r="BB55" s="338"/>
      <c r="BC55" s="338"/>
      <c r="BD55" s="338">
        <f>579400+105000+550000</f>
        <v>1234400</v>
      </c>
      <c r="BE55" s="338"/>
      <c r="BF55" s="338"/>
      <c r="BG55" s="338"/>
      <c r="BH55" s="338"/>
      <c r="BI55" s="338"/>
      <c r="BJ55" s="338"/>
      <c r="BK55" s="338">
        <f>579400+105000</f>
        <v>684400</v>
      </c>
      <c r="BL55" s="338"/>
      <c r="BM55" s="338"/>
      <c r="BN55" s="338"/>
      <c r="BO55" s="338"/>
      <c r="BP55" s="338"/>
      <c r="BQ55" s="338"/>
      <c r="BR55" s="320" t="s">
        <v>34</v>
      </c>
      <c r="BS55" s="320"/>
      <c r="BT55" s="320"/>
      <c r="BU55" s="320"/>
      <c r="BV55" s="320"/>
      <c r="BW55" s="320"/>
      <c r="BX55" s="321"/>
    </row>
    <row r="56" spans="1:76" s="5" customFormat="1" ht="23.25" customHeight="1">
      <c r="A56" s="322" t="s">
        <v>78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4"/>
      <c r="AF56" s="329" t="s">
        <v>68</v>
      </c>
      <c r="AG56" s="325"/>
      <c r="AH56" s="325"/>
      <c r="AI56" s="325"/>
      <c r="AJ56" s="325" t="s">
        <v>83</v>
      </c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/>
      <c r="BM56" s="338"/>
      <c r="BN56" s="338"/>
      <c r="BO56" s="338"/>
      <c r="BP56" s="338"/>
      <c r="BQ56" s="338"/>
      <c r="BR56" s="320" t="s">
        <v>34</v>
      </c>
      <c r="BS56" s="320"/>
      <c r="BT56" s="320"/>
      <c r="BU56" s="320"/>
      <c r="BV56" s="320"/>
      <c r="BW56" s="320"/>
      <c r="BX56" s="321"/>
    </row>
    <row r="57" spans="1:76" s="5" customFormat="1" ht="35.25" customHeight="1">
      <c r="A57" s="332" t="s">
        <v>208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4"/>
      <c r="AF57" s="329" t="s">
        <v>69</v>
      </c>
      <c r="AG57" s="325"/>
      <c r="AH57" s="325"/>
      <c r="AI57" s="325"/>
      <c r="AJ57" s="325" t="s">
        <v>84</v>
      </c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38">
        <f>'НЧ МЗ'!F18+'НЧ ИЦ'!F16+кредиторка!H22</f>
        <v>7787757.996</v>
      </c>
      <c r="AX57" s="338"/>
      <c r="AY57" s="338"/>
      <c r="AZ57" s="338"/>
      <c r="BA57" s="338"/>
      <c r="BB57" s="338"/>
      <c r="BC57" s="338"/>
      <c r="BD57" s="338">
        <f>3860143+3763373+154590+108220+26600</f>
        <v>7912926</v>
      </c>
      <c r="BE57" s="338"/>
      <c r="BF57" s="338"/>
      <c r="BG57" s="338"/>
      <c r="BH57" s="338"/>
      <c r="BI57" s="338"/>
      <c r="BJ57" s="338"/>
      <c r="BK57" s="338">
        <f>4024766+3980889+160775+108220+26600</f>
        <v>8301250</v>
      </c>
      <c r="BL57" s="338"/>
      <c r="BM57" s="338"/>
      <c r="BN57" s="338"/>
      <c r="BO57" s="338"/>
      <c r="BP57" s="338"/>
      <c r="BQ57" s="338"/>
      <c r="BR57" s="320" t="s">
        <v>34</v>
      </c>
      <c r="BS57" s="320"/>
      <c r="BT57" s="320"/>
      <c r="BU57" s="320"/>
      <c r="BV57" s="320"/>
      <c r="BW57" s="320"/>
      <c r="BX57" s="321"/>
    </row>
    <row r="58" spans="1:76" s="5" customFormat="1" ht="22.5" customHeight="1">
      <c r="A58" s="367" t="s">
        <v>79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9"/>
      <c r="AF58" s="329" t="s">
        <v>70</v>
      </c>
      <c r="AG58" s="325"/>
      <c r="AH58" s="325"/>
      <c r="AI58" s="325"/>
      <c r="AJ58" s="325" t="s">
        <v>84</v>
      </c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38">
        <f>AW57</f>
        <v>7787757.996</v>
      </c>
      <c r="AX58" s="338"/>
      <c r="AY58" s="338"/>
      <c r="AZ58" s="338"/>
      <c r="BA58" s="338"/>
      <c r="BB58" s="338"/>
      <c r="BC58" s="338"/>
      <c r="BD58" s="338">
        <f>BD57</f>
        <v>7912926</v>
      </c>
      <c r="BE58" s="338"/>
      <c r="BF58" s="338"/>
      <c r="BG58" s="338"/>
      <c r="BH58" s="338"/>
      <c r="BI58" s="338"/>
      <c r="BJ58" s="338"/>
      <c r="BK58" s="338">
        <f>BK57</f>
        <v>8301250</v>
      </c>
      <c r="BL58" s="338"/>
      <c r="BM58" s="338"/>
      <c r="BN58" s="338"/>
      <c r="BO58" s="338"/>
      <c r="BP58" s="338"/>
      <c r="BQ58" s="338"/>
      <c r="BR58" s="320" t="s">
        <v>34</v>
      </c>
      <c r="BS58" s="320"/>
      <c r="BT58" s="320"/>
      <c r="BU58" s="320"/>
      <c r="BV58" s="320"/>
      <c r="BW58" s="320"/>
      <c r="BX58" s="321"/>
    </row>
    <row r="59" spans="1:76" s="5" customFormat="1" ht="12.75">
      <c r="A59" s="339" t="s">
        <v>80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1"/>
      <c r="AF59" s="329" t="s">
        <v>71</v>
      </c>
      <c r="AG59" s="325"/>
      <c r="AH59" s="325"/>
      <c r="AI59" s="325"/>
      <c r="AJ59" s="325" t="s">
        <v>84</v>
      </c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20" t="s">
        <v>34</v>
      </c>
      <c r="BS59" s="320"/>
      <c r="BT59" s="320"/>
      <c r="BU59" s="320"/>
      <c r="BV59" s="320"/>
      <c r="BW59" s="320"/>
      <c r="BX59" s="321"/>
    </row>
    <row r="60" spans="1:76" s="5" customFormat="1" ht="22.5" customHeight="1" hidden="1">
      <c r="A60" s="322" t="s">
        <v>85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4"/>
      <c r="AF60" s="329" t="s">
        <v>86</v>
      </c>
      <c r="AG60" s="325"/>
      <c r="AH60" s="325"/>
      <c r="AI60" s="325"/>
      <c r="AJ60" s="325" t="s">
        <v>87</v>
      </c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20" t="s">
        <v>34</v>
      </c>
      <c r="BS60" s="320"/>
      <c r="BT60" s="320"/>
      <c r="BU60" s="320"/>
      <c r="BV60" s="320"/>
      <c r="BW60" s="320"/>
      <c r="BX60" s="321"/>
    </row>
    <row r="61" spans="1:76" s="5" customFormat="1" ht="22.5" customHeight="1" hidden="1">
      <c r="A61" s="322" t="s">
        <v>214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4"/>
      <c r="AF61" s="329" t="s">
        <v>90</v>
      </c>
      <c r="AG61" s="325"/>
      <c r="AH61" s="325"/>
      <c r="AI61" s="325"/>
      <c r="AJ61" s="325" t="s">
        <v>215</v>
      </c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20" t="s">
        <v>34</v>
      </c>
      <c r="BS61" s="320"/>
      <c r="BT61" s="320"/>
      <c r="BU61" s="320"/>
      <c r="BV61" s="320"/>
      <c r="BW61" s="320"/>
      <c r="BX61" s="321"/>
    </row>
    <row r="62" spans="1:76" s="5" customFormat="1" ht="24" customHeight="1" hidden="1">
      <c r="A62" s="322" t="s">
        <v>92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4"/>
      <c r="AF62" s="329" t="s">
        <v>91</v>
      </c>
      <c r="AG62" s="325"/>
      <c r="AH62" s="325"/>
      <c r="AI62" s="325"/>
      <c r="AJ62" s="325" t="s">
        <v>88</v>
      </c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20" t="s">
        <v>34</v>
      </c>
      <c r="BS62" s="320"/>
      <c r="BT62" s="320"/>
      <c r="BU62" s="320"/>
      <c r="BV62" s="320"/>
      <c r="BW62" s="320"/>
      <c r="BX62" s="321"/>
    </row>
    <row r="63" spans="1:76" s="5" customFormat="1" ht="25.5" customHeight="1" hidden="1">
      <c r="A63" s="322" t="s">
        <v>216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329" t="s">
        <v>217</v>
      </c>
      <c r="AG63" s="325"/>
      <c r="AH63" s="325"/>
      <c r="AI63" s="325"/>
      <c r="AJ63" s="325" t="s">
        <v>89</v>
      </c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20" t="s">
        <v>34</v>
      </c>
      <c r="BS63" s="320"/>
      <c r="BT63" s="320"/>
      <c r="BU63" s="320"/>
      <c r="BV63" s="320"/>
      <c r="BW63" s="320"/>
      <c r="BX63" s="321"/>
    </row>
    <row r="64" spans="1:76" s="5" customFormat="1" ht="24.75" customHeight="1" hidden="1">
      <c r="A64" s="339" t="s">
        <v>93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1"/>
      <c r="AF64" s="329" t="s">
        <v>218</v>
      </c>
      <c r="AG64" s="325"/>
      <c r="AH64" s="325"/>
      <c r="AI64" s="325"/>
      <c r="AJ64" s="325" t="s">
        <v>89</v>
      </c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20" t="s">
        <v>34</v>
      </c>
      <c r="BS64" s="320"/>
      <c r="BT64" s="320"/>
      <c r="BU64" s="320"/>
      <c r="BV64" s="320"/>
      <c r="BW64" s="320"/>
      <c r="BX64" s="321"/>
    </row>
    <row r="65" spans="1:76" s="5" customFormat="1" ht="11.25" customHeight="1">
      <c r="A65" s="364" t="s">
        <v>104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6"/>
      <c r="AF65" s="329" t="s">
        <v>94</v>
      </c>
      <c r="AG65" s="325"/>
      <c r="AH65" s="325"/>
      <c r="AI65" s="325"/>
      <c r="AJ65" s="325" t="s">
        <v>107</v>
      </c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38">
        <f>AW66</f>
        <v>0</v>
      </c>
      <c r="AX65" s="338"/>
      <c r="AY65" s="338"/>
      <c r="AZ65" s="338"/>
      <c r="BA65" s="338"/>
      <c r="BB65" s="338"/>
      <c r="BC65" s="338"/>
      <c r="BD65" s="338">
        <f>BD66</f>
        <v>0</v>
      </c>
      <c r="BE65" s="338"/>
      <c r="BF65" s="338"/>
      <c r="BG65" s="338"/>
      <c r="BH65" s="338"/>
      <c r="BI65" s="338"/>
      <c r="BJ65" s="338"/>
      <c r="BK65" s="338">
        <f>BK66</f>
        <v>0</v>
      </c>
      <c r="BL65" s="338"/>
      <c r="BM65" s="338"/>
      <c r="BN65" s="338"/>
      <c r="BO65" s="338"/>
      <c r="BP65" s="338"/>
      <c r="BQ65" s="338"/>
      <c r="BR65" s="320" t="s">
        <v>34</v>
      </c>
      <c r="BS65" s="320"/>
      <c r="BT65" s="320"/>
      <c r="BU65" s="320"/>
      <c r="BV65" s="320"/>
      <c r="BW65" s="320"/>
      <c r="BX65" s="321"/>
    </row>
    <row r="66" spans="1:76" s="5" customFormat="1" ht="33.75" customHeight="1">
      <c r="A66" s="342" t="s">
        <v>105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4"/>
      <c r="AF66" s="329" t="s">
        <v>95</v>
      </c>
      <c r="AG66" s="325"/>
      <c r="AH66" s="325"/>
      <c r="AI66" s="325"/>
      <c r="AJ66" s="325" t="s">
        <v>108</v>
      </c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38">
        <f>AW67</f>
        <v>0</v>
      </c>
      <c r="AX66" s="338"/>
      <c r="AY66" s="338"/>
      <c r="AZ66" s="338"/>
      <c r="BA66" s="338"/>
      <c r="BB66" s="338"/>
      <c r="BC66" s="338"/>
      <c r="BD66" s="338">
        <f>BD67</f>
        <v>0</v>
      </c>
      <c r="BE66" s="338"/>
      <c r="BF66" s="338"/>
      <c r="BG66" s="338"/>
      <c r="BH66" s="338"/>
      <c r="BI66" s="338"/>
      <c r="BJ66" s="338"/>
      <c r="BK66" s="338">
        <f>BK67</f>
        <v>0</v>
      </c>
      <c r="BL66" s="338"/>
      <c r="BM66" s="338"/>
      <c r="BN66" s="338"/>
      <c r="BO66" s="338"/>
      <c r="BP66" s="338"/>
      <c r="BQ66" s="338"/>
      <c r="BR66" s="320" t="s">
        <v>34</v>
      </c>
      <c r="BS66" s="320"/>
      <c r="BT66" s="320"/>
      <c r="BU66" s="320"/>
      <c r="BV66" s="320"/>
      <c r="BW66" s="320"/>
      <c r="BX66" s="321"/>
    </row>
    <row r="67" spans="1:76" s="5" customFormat="1" ht="36" customHeight="1">
      <c r="A67" s="339" t="s">
        <v>106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1"/>
      <c r="AF67" s="329" t="s">
        <v>96</v>
      </c>
      <c r="AG67" s="325"/>
      <c r="AH67" s="325"/>
      <c r="AI67" s="325"/>
      <c r="AJ67" s="325" t="s">
        <v>109</v>
      </c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38">
        <f>'ПВ ИЦ'!E18</f>
        <v>0</v>
      </c>
      <c r="AX67" s="338"/>
      <c r="AY67" s="338"/>
      <c r="AZ67" s="338"/>
      <c r="BA67" s="338"/>
      <c r="BB67" s="338"/>
      <c r="BC67" s="338"/>
      <c r="BD67" s="338">
        <v>0</v>
      </c>
      <c r="BE67" s="338"/>
      <c r="BF67" s="338"/>
      <c r="BG67" s="338"/>
      <c r="BH67" s="338"/>
      <c r="BI67" s="338"/>
      <c r="BJ67" s="338"/>
      <c r="BK67" s="338">
        <v>0</v>
      </c>
      <c r="BL67" s="338"/>
      <c r="BM67" s="338"/>
      <c r="BN67" s="338"/>
      <c r="BO67" s="338"/>
      <c r="BP67" s="338"/>
      <c r="BQ67" s="338"/>
      <c r="BR67" s="320" t="s">
        <v>34</v>
      </c>
      <c r="BS67" s="320"/>
      <c r="BT67" s="320"/>
      <c r="BU67" s="320"/>
      <c r="BV67" s="320"/>
      <c r="BW67" s="320"/>
      <c r="BX67" s="321"/>
    </row>
    <row r="68" spans="1:76" s="5" customFormat="1" ht="24.75" customHeight="1">
      <c r="A68" s="322" t="s">
        <v>110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4"/>
      <c r="AF68" s="329" t="s">
        <v>97</v>
      </c>
      <c r="AG68" s="325"/>
      <c r="AH68" s="325"/>
      <c r="AI68" s="325"/>
      <c r="AJ68" s="325" t="s">
        <v>113</v>
      </c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320" t="s">
        <v>34</v>
      </c>
      <c r="BS68" s="320"/>
      <c r="BT68" s="320"/>
      <c r="BU68" s="320"/>
      <c r="BV68" s="320"/>
      <c r="BW68" s="320"/>
      <c r="BX68" s="321"/>
    </row>
    <row r="69" spans="1:76" s="5" customFormat="1" ht="49.5" customHeight="1">
      <c r="A69" s="322" t="s">
        <v>111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4"/>
      <c r="AF69" s="329" t="s">
        <v>98</v>
      </c>
      <c r="AG69" s="325"/>
      <c r="AH69" s="325"/>
      <c r="AI69" s="325"/>
      <c r="AJ69" s="325" t="s">
        <v>114</v>
      </c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20" t="s">
        <v>34</v>
      </c>
      <c r="BS69" s="320"/>
      <c r="BT69" s="320"/>
      <c r="BU69" s="320"/>
      <c r="BV69" s="320"/>
      <c r="BW69" s="320"/>
      <c r="BX69" s="321"/>
    </row>
    <row r="70" spans="1:76" s="5" customFormat="1" ht="12" customHeight="1" hidden="1">
      <c r="A70" s="348" t="s">
        <v>219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9"/>
      <c r="AF70" s="329" t="s">
        <v>99</v>
      </c>
      <c r="AG70" s="325"/>
      <c r="AH70" s="325"/>
      <c r="AI70" s="325"/>
      <c r="AJ70" s="325" t="s">
        <v>115</v>
      </c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20" t="s">
        <v>34</v>
      </c>
      <c r="BS70" s="320"/>
      <c r="BT70" s="320"/>
      <c r="BU70" s="320"/>
      <c r="BV70" s="320"/>
      <c r="BW70" s="320"/>
      <c r="BX70" s="321"/>
    </row>
    <row r="71" spans="1:76" s="5" customFormat="1" ht="12.75">
      <c r="A71" s="359" t="s">
        <v>112</v>
      </c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1"/>
      <c r="AF71" s="329" t="s">
        <v>100</v>
      </c>
      <c r="AG71" s="325"/>
      <c r="AH71" s="325"/>
      <c r="AI71" s="325"/>
      <c r="AJ71" s="325" t="s">
        <v>116</v>
      </c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38">
        <f>AW72+AW74</f>
        <v>209000</v>
      </c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20"/>
      <c r="BS71" s="320"/>
      <c r="BT71" s="320"/>
      <c r="BU71" s="320"/>
      <c r="BV71" s="320"/>
      <c r="BW71" s="320"/>
      <c r="BX71" s="321"/>
    </row>
    <row r="72" spans="1:76" s="5" customFormat="1" ht="24" customHeight="1">
      <c r="A72" s="322" t="s">
        <v>135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4"/>
      <c r="AF72" s="329" t="s">
        <v>101</v>
      </c>
      <c r="AG72" s="325"/>
      <c r="AH72" s="325"/>
      <c r="AI72" s="325"/>
      <c r="AJ72" s="325" t="s">
        <v>117</v>
      </c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38">
        <f>AW73</f>
        <v>150000</v>
      </c>
      <c r="AX72" s="338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20"/>
      <c r="BS72" s="320"/>
      <c r="BT72" s="320"/>
      <c r="BU72" s="320"/>
      <c r="BV72" s="320"/>
      <c r="BW72" s="320"/>
      <c r="BX72" s="321"/>
    </row>
    <row r="73" spans="1:76" s="5" customFormat="1" ht="23.25" customHeight="1">
      <c r="A73" s="322" t="s">
        <v>136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4"/>
      <c r="AF73" s="329" t="s">
        <v>102</v>
      </c>
      <c r="AG73" s="325"/>
      <c r="AH73" s="325"/>
      <c r="AI73" s="325"/>
      <c r="AJ73" s="325" t="s">
        <v>118</v>
      </c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38">
        <v>150000</v>
      </c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320" t="s">
        <v>34</v>
      </c>
      <c r="BS73" s="320"/>
      <c r="BT73" s="320"/>
      <c r="BU73" s="320"/>
      <c r="BV73" s="320"/>
      <c r="BW73" s="320"/>
      <c r="BX73" s="321"/>
    </row>
    <row r="74" spans="1:76" s="5" customFormat="1" ht="11.25" customHeight="1">
      <c r="A74" s="357" t="s">
        <v>137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8"/>
      <c r="AF74" s="329" t="s">
        <v>103</v>
      </c>
      <c r="AG74" s="325"/>
      <c r="AH74" s="325"/>
      <c r="AI74" s="325"/>
      <c r="AJ74" s="325" t="s">
        <v>119</v>
      </c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38">
        <v>59000</v>
      </c>
      <c r="AX74" s="338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/>
      <c r="BM74" s="338"/>
      <c r="BN74" s="338"/>
      <c r="BO74" s="338"/>
      <c r="BP74" s="338"/>
      <c r="BQ74" s="338"/>
      <c r="BR74" s="320" t="s">
        <v>34</v>
      </c>
      <c r="BS74" s="320"/>
      <c r="BT74" s="320"/>
      <c r="BU74" s="320"/>
      <c r="BV74" s="320"/>
      <c r="BW74" s="320"/>
      <c r="BX74" s="321"/>
    </row>
    <row r="75" spans="1:76" s="5" customFormat="1" ht="12.75" hidden="1">
      <c r="A75" s="359" t="s">
        <v>138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1"/>
      <c r="AF75" s="329" t="s">
        <v>126</v>
      </c>
      <c r="AG75" s="325"/>
      <c r="AH75" s="325"/>
      <c r="AI75" s="325"/>
      <c r="AJ75" s="325" t="s">
        <v>34</v>
      </c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20" t="s">
        <v>34</v>
      </c>
      <c r="BS75" s="320"/>
      <c r="BT75" s="320"/>
      <c r="BU75" s="320"/>
      <c r="BV75" s="320"/>
      <c r="BW75" s="320"/>
      <c r="BX75" s="321"/>
    </row>
    <row r="76" spans="1:76" s="5" customFormat="1" ht="24.75" customHeight="1" hidden="1">
      <c r="A76" s="332" t="s">
        <v>220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4"/>
      <c r="AF76" s="329" t="s">
        <v>127</v>
      </c>
      <c r="AG76" s="325"/>
      <c r="AH76" s="325"/>
      <c r="AI76" s="325"/>
      <c r="AJ76" s="325" t="s">
        <v>224</v>
      </c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20"/>
      <c r="BS76" s="320"/>
      <c r="BT76" s="320"/>
      <c r="BU76" s="320"/>
      <c r="BV76" s="320"/>
      <c r="BW76" s="320"/>
      <c r="BX76" s="321"/>
    </row>
    <row r="77" spans="1:76" s="5" customFormat="1" ht="12.75" hidden="1">
      <c r="A77" s="332" t="s">
        <v>227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4"/>
      <c r="AF77" s="329" t="s">
        <v>128</v>
      </c>
      <c r="AG77" s="325"/>
      <c r="AH77" s="325"/>
      <c r="AI77" s="325"/>
      <c r="AJ77" s="325" t="s">
        <v>225</v>
      </c>
      <c r="AK77" s="325"/>
      <c r="AL77" s="325"/>
      <c r="AM77" s="325"/>
      <c r="AN77" s="325"/>
      <c r="AO77" s="325"/>
      <c r="AP77" s="325"/>
      <c r="AQ77" s="325"/>
      <c r="AR77" s="325"/>
      <c r="AS77" s="325"/>
      <c r="AT77" s="325"/>
      <c r="AU77" s="325"/>
      <c r="AV77" s="325"/>
      <c r="AW77" s="338"/>
      <c r="AX77" s="338"/>
      <c r="AY77" s="338"/>
      <c r="AZ77" s="338"/>
      <c r="BA77" s="338"/>
      <c r="BB77" s="338"/>
      <c r="BC77" s="338"/>
      <c r="BD77" s="338"/>
      <c r="BE77" s="338"/>
      <c r="BF77" s="338"/>
      <c r="BG77" s="338"/>
      <c r="BH77" s="338"/>
      <c r="BI77" s="338"/>
      <c r="BJ77" s="338"/>
      <c r="BK77" s="338"/>
      <c r="BL77" s="338"/>
      <c r="BM77" s="338"/>
      <c r="BN77" s="338"/>
      <c r="BO77" s="338"/>
      <c r="BP77" s="338"/>
      <c r="BQ77" s="338"/>
      <c r="BR77" s="320"/>
      <c r="BS77" s="320"/>
      <c r="BT77" s="320"/>
      <c r="BU77" s="320"/>
      <c r="BV77" s="320"/>
      <c r="BW77" s="320"/>
      <c r="BX77" s="321"/>
    </row>
    <row r="78" spans="1:76" s="5" customFormat="1" ht="24" customHeight="1" hidden="1">
      <c r="A78" s="362" t="s">
        <v>228</v>
      </c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3"/>
      <c r="AF78" s="329" t="s">
        <v>129</v>
      </c>
      <c r="AG78" s="325"/>
      <c r="AH78" s="325"/>
      <c r="AI78" s="325"/>
      <c r="AJ78" s="325" t="s">
        <v>226</v>
      </c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20"/>
      <c r="BS78" s="320"/>
      <c r="BT78" s="320"/>
      <c r="BU78" s="320"/>
      <c r="BV78" s="320"/>
      <c r="BW78" s="320"/>
      <c r="BX78" s="321"/>
    </row>
    <row r="79" spans="1:76" s="5" customFormat="1" ht="12" customHeight="1" hidden="1">
      <c r="A79" s="332" t="s">
        <v>229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4"/>
      <c r="AF79" s="329" t="s">
        <v>221</v>
      </c>
      <c r="AG79" s="325"/>
      <c r="AH79" s="325"/>
      <c r="AI79" s="325"/>
      <c r="AJ79" s="325" t="s">
        <v>120</v>
      </c>
      <c r="AK79" s="325"/>
      <c r="AL79" s="325"/>
      <c r="AM79" s="325"/>
      <c r="AN79" s="325"/>
      <c r="AO79" s="325"/>
      <c r="AP79" s="325"/>
      <c r="AQ79" s="325"/>
      <c r="AR79" s="325"/>
      <c r="AS79" s="325"/>
      <c r="AT79" s="325"/>
      <c r="AU79" s="325"/>
      <c r="AV79" s="325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20"/>
      <c r="BS79" s="320"/>
      <c r="BT79" s="320"/>
      <c r="BU79" s="320"/>
      <c r="BV79" s="320"/>
      <c r="BW79" s="320"/>
      <c r="BX79" s="321"/>
    </row>
    <row r="80" spans="1:76" s="5" customFormat="1" ht="12" customHeight="1" hidden="1">
      <c r="A80" s="362" t="s">
        <v>139</v>
      </c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3"/>
      <c r="AF80" s="329" t="s">
        <v>222</v>
      </c>
      <c r="AG80" s="325"/>
      <c r="AH80" s="325"/>
      <c r="AI80" s="325"/>
      <c r="AJ80" s="325" t="s">
        <v>121</v>
      </c>
      <c r="AK80" s="325"/>
      <c r="AL80" s="325"/>
      <c r="AM80" s="325"/>
      <c r="AN80" s="325"/>
      <c r="AO80" s="325"/>
      <c r="AP80" s="325"/>
      <c r="AQ80" s="325"/>
      <c r="AR80" s="325"/>
      <c r="AS80" s="325"/>
      <c r="AT80" s="325"/>
      <c r="AU80" s="325"/>
      <c r="AV80" s="325"/>
      <c r="AW80" s="338"/>
      <c r="AX80" s="338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20"/>
      <c r="BS80" s="320"/>
      <c r="BT80" s="320"/>
      <c r="BU80" s="320"/>
      <c r="BV80" s="320"/>
      <c r="BW80" s="320"/>
      <c r="BX80" s="321"/>
    </row>
    <row r="81" spans="1:76" s="5" customFormat="1" ht="24" customHeight="1" hidden="1">
      <c r="A81" s="332" t="s">
        <v>140</v>
      </c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4"/>
      <c r="AF81" s="329" t="s">
        <v>223</v>
      </c>
      <c r="AG81" s="325"/>
      <c r="AH81" s="325"/>
      <c r="AI81" s="325"/>
      <c r="AJ81" s="325" t="s">
        <v>122</v>
      </c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38"/>
      <c r="AX81" s="338"/>
      <c r="AY81" s="338"/>
      <c r="AZ81" s="338"/>
      <c r="BA81" s="338"/>
      <c r="BB81" s="338"/>
      <c r="BC81" s="338"/>
      <c r="BD81" s="338"/>
      <c r="BE81" s="338"/>
      <c r="BF81" s="338"/>
      <c r="BG81" s="338"/>
      <c r="BH81" s="338"/>
      <c r="BI81" s="338"/>
      <c r="BJ81" s="338"/>
      <c r="BK81" s="338"/>
      <c r="BL81" s="338"/>
      <c r="BM81" s="338"/>
      <c r="BN81" s="338"/>
      <c r="BO81" s="338"/>
      <c r="BP81" s="338"/>
      <c r="BQ81" s="338"/>
      <c r="BR81" s="320"/>
      <c r="BS81" s="320"/>
      <c r="BT81" s="320"/>
      <c r="BU81" s="320"/>
      <c r="BV81" s="320"/>
      <c r="BW81" s="320"/>
      <c r="BX81" s="321"/>
    </row>
    <row r="82" spans="1:76" s="5" customFormat="1" ht="12" customHeight="1" hidden="1">
      <c r="A82" s="362"/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3"/>
      <c r="AF82" s="329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20"/>
      <c r="BS82" s="320"/>
      <c r="BT82" s="320"/>
      <c r="BU82" s="320"/>
      <c r="BV82" s="320"/>
      <c r="BW82" s="320"/>
      <c r="BX82" s="321"/>
    </row>
    <row r="83" spans="1:76" s="5" customFormat="1" ht="12.75">
      <c r="A83" s="359" t="s">
        <v>141</v>
      </c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1"/>
      <c r="AF83" s="329" t="s">
        <v>130</v>
      </c>
      <c r="AG83" s="325"/>
      <c r="AH83" s="325"/>
      <c r="AI83" s="325"/>
      <c r="AJ83" s="325" t="s">
        <v>34</v>
      </c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20" t="s">
        <v>34</v>
      </c>
      <c r="BS83" s="320"/>
      <c r="BT83" s="320"/>
      <c r="BU83" s="320"/>
      <c r="BV83" s="320"/>
      <c r="BW83" s="320"/>
      <c r="BX83" s="321"/>
    </row>
    <row r="84" spans="1:76" s="5" customFormat="1" ht="36" customHeight="1">
      <c r="A84" s="322" t="s">
        <v>142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4"/>
      <c r="AF84" s="329" t="s">
        <v>131</v>
      </c>
      <c r="AG84" s="325"/>
      <c r="AH84" s="325"/>
      <c r="AI84" s="325"/>
      <c r="AJ84" s="325" t="s">
        <v>123</v>
      </c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20" t="s">
        <v>34</v>
      </c>
      <c r="BS84" s="320"/>
      <c r="BT84" s="320"/>
      <c r="BU84" s="320"/>
      <c r="BV84" s="320"/>
      <c r="BW84" s="320"/>
      <c r="BX84" s="321"/>
    </row>
    <row r="85" spans="1:76" s="5" customFormat="1" ht="12.75">
      <c r="A85" s="359" t="s">
        <v>157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1"/>
      <c r="AF85" s="329" t="s">
        <v>132</v>
      </c>
      <c r="AG85" s="325"/>
      <c r="AH85" s="325"/>
      <c r="AI85" s="325"/>
      <c r="AJ85" s="325" t="s">
        <v>34</v>
      </c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38">
        <f>AW88+AW90+кредиторка!H15+кредиторка!H16+кредиторка!H18+кредиторка!H19</f>
        <v>4327534.14156</v>
      </c>
      <c r="AX85" s="338"/>
      <c r="AY85" s="338"/>
      <c r="AZ85" s="338"/>
      <c r="BA85" s="338"/>
      <c r="BB85" s="338"/>
      <c r="BC85" s="338"/>
      <c r="BD85" s="338">
        <f>BD88+BD90</f>
        <v>4364277</v>
      </c>
      <c r="BE85" s="338"/>
      <c r="BF85" s="338"/>
      <c r="BG85" s="338"/>
      <c r="BH85" s="338"/>
      <c r="BI85" s="338"/>
      <c r="BJ85" s="338"/>
      <c r="BK85" s="338">
        <f>BK88+BK90</f>
        <v>3918041</v>
      </c>
      <c r="BL85" s="338"/>
      <c r="BM85" s="338"/>
      <c r="BN85" s="338"/>
      <c r="BO85" s="338"/>
      <c r="BP85" s="338"/>
      <c r="BQ85" s="338"/>
      <c r="BR85" s="320"/>
      <c r="BS85" s="320"/>
      <c r="BT85" s="320"/>
      <c r="BU85" s="320"/>
      <c r="BV85" s="320"/>
      <c r="BW85" s="320"/>
      <c r="BX85" s="321"/>
    </row>
    <row r="86" spans="1:76" s="5" customFormat="1" ht="36" customHeight="1">
      <c r="A86" s="348" t="s">
        <v>238</v>
      </c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8"/>
      <c r="AF86" s="329" t="s">
        <v>133</v>
      </c>
      <c r="AG86" s="325"/>
      <c r="AH86" s="325"/>
      <c r="AI86" s="325"/>
      <c r="AJ86" s="325" t="s">
        <v>124</v>
      </c>
      <c r="AK86" s="325"/>
      <c r="AL86" s="325"/>
      <c r="AM86" s="325"/>
      <c r="AN86" s="325"/>
      <c r="AO86" s="325"/>
      <c r="AP86" s="325"/>
      <c r="AQ86" s="325"/>
      <c r="AR86" s="325"/>
      <c r="AS86" s="325"/>
      <c r="AT86" s="325"/>
      <c r="AU86" s="325"/>
      <c r="AV86" s="325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/>
      <c r="BM86" s="338"/>
      <c r="BN86" s="338"/>
      <c r="BO86" s="338"/>
      <c r="BP86" s="338"/>
      <c r="BQ86" s="338"/>
      <c r="BR86" s="320"/>
      <c r="BS86" s="320"/>
      <c r="BT86" s="320"/>
      <c r="BU86" s="320"/>
      <c r="BV86" s="320"/>
      <c r="BW86" s="320"/>
      <c r="BX86" s="321"/>
    </row>
    <row r="87" spans="1:76" s="5" customFormat="1" ht="24.75" customHeight="1">
      <c r="A87" s="322" t="s">
        <v>143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4"/>
      <c r="AF87" s="329" t="s">
        <v>134</v>
      </c>
      <c r="AG87" s="325"/>
      <c r="AH87" s="325"/>
      <c r="AI87" s="325"/>
      <c r="AJ87" s="325" t="s">
        <v>125</v>
      </c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38"/>
      <c r="AX87" s="338"/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38"/>
      <c r="BK87" s="338"/>
      <c r="BL87" s="338"/>
      <c r="BM87" s="338"/>
      <c r="BN87" s="338"/>
      <c r="BO87" s="338"/>
      <c r="BP87" s="338"/>
      <c r="BQ87" s="338"/>
      <c r="BR87" s="320"/>
      <c r="BS87" s="320"/>
      <c r="BT87" s="320"/>
      <c r="BU87" s="320"/>
      <c r="BV87" s="320"/>
      <c r="BW87" s="320"/>
      <c r="BX87" s="321"/>
    </row>
    <row r="88" spans="1:76" s="5" customFormat="1" ht="12.75">
      <c r="A88" s="322" t="s">
        <v>239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4"/>
      <c r="AF88" s="329" t="s">
        <v>144</v>
      </c>
      <c r="AG88" s="325"/>
      <c r="AH88" s="325"/>
      <c r="AI88" s="325"/>
      <c r="AJ88" s="325" t="s">
        <v>145</v>
      </c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38">
        <f>'244,247 МЗ'!G37+'244 МЗ (2)'!G31+'244 МЗ (2)'!G50+'244 МЗ (3)'!F15+'244 ИЦ'!H26+'244 ИЦ'!H31+'244 ИЦ'!H52+'244,247 МЗ'!G17</f>
        <v>1786252.82112</v>
      </c>
      <c r="AX88" s="338"/>
      <c r="AY88" s="338"/>
      <c r="AZ88" s="338"/>
      <c r="BA88" s="338"/>
      <c r="BB88" s="338"/>
      <c r="BC88" s="338"/>
      <c r="BD88" s="338">
        <f>54888+405000+165827+34080+618940+13630+4440+20000</f>
        <v>1316805</v>
      </c>
      <c r="BE88" s="338"/>
      <c r="BF88" s="338"/>
      <c r="BG88" s="338"/>
      <c r="BH88" s="338"/>
      <c r="BI88" s="338"/>
      <c r="BJ88" s="338"/>
      <c r="BK88" s="338">
        <f>87378+618940+14179+4623+35449</f>
        <v>760569</v>
      </c>
      <c r="BL88" s="338"/>
      <c r="BM88" s="338"/>
      <c r="BN88" s="338"/>
      <c r="BO88" s="338"/>
      <c r="BP88" s="338"/>
      <c r="BQ88" s="338"/>
      <c r="BR88" s="320"/>
      <c r="BS88" s="320"/>
      <c r="BT88" s="320"/>
      <c r="BU88" s="320"/>
      <c r="BV88" s="320"/>
      <c r="BW88" s="320"/>
      <c r="BX88" s="321"/>
    </row>
    <row r="89" spans="1:76" s="5" customFormat="1" ht="36" customHeight="1">
      <c r="A89" s="348" t="s">
        <v>244</v>
      </c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9"/>
      <c r="AF89" s="356" t="s">
        <v>146</v>
      </c>
      <c r="AG89" s="351"/>
      <c r="AH89" s="351"/>
      <c r="AI89" s="352"/>
      <c r="AJ89" s="350" t="s">
        <v>240</v>
      </c>
      <c r="AK89" s="351"/>
      <c r="AL89" s="351"/>
      <c r="AM89" s="351"/>
      <c r="AN89" s="351"/>
      <c r="AO89" s="351"/>
      <c r="AP89" s="351"/>
      <c r="AQ89" s="352"/>
      <c r="AR89" s="350"/>
      <c r="AS89" s="351"/>
      <c r="AT89" s="351"/>
      <c r="AU89" s="351"/>
      <c r="AV89" s="352"/>
      <c r="AW89" s="345"/>
      <c r="AX89" s="346"/>
      <c r="AY89" s="346"/>
      <c r="AZ89" s="346"/>
      <c r="BA89" s="346"/>
      <c r="BB89" s="346"/>
      <c r="BC89" s="347"/>
      <c r="BD89" s="345"/>
      <c r="BE89" s="346"/>
      <c r="BF89" s="346"/>
      <c r="BG89" s="346"/>
      <c r="BH89" s="346"/>
      <c r="BI89" s="346"/>
      <c r="BJ89" s="347"/>
      <c r="BK89" s="345"/>
      <c r="BL89" s="346"/>
      <c r="BM89" s="346"/>
      <c r="BN89" s="346"/>
      <c r="BO89" s="346"/>
      <c r="BP89" s="346"/>
      <c r="BQ89" s="347"/>
      <c r="BR89" s="353"/>
      <c r="BS89" s="354"/>
      <c r="BT89" s="354"/>
      <c r="BU89" s="354"/>
      <c r="BV89" s="354"/>
      <c r="BW89" s="354"/>
      <c r="BX89" s="355"/>
    </row>
    <row r="90" spans="1:76" s="5" customFormat="1" ht="12" customHeight="1">
      <c r="A90" s="332" t="s">
        <v>243</v>
      </c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4"/>
      <c r="AF90" s="329" t="s">
        <v>241</v>
      </c>
      <c r="AG90" s="325"/>
      <c r="AH90" s="325"/>
      <c r="AI90" s="325"/>
      <c r="AJ90" s="325" t="s">
        <v>242</v>
      </c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38">
        <f>'244,247 МЗ'!G57+кредиторка!H17</f>
        <v>2416912.0704400004</v>
      </c>
      <c r="AX90" s="338"/>
      <c r="AY90" s="338"/>
      <c r="AZ90" s="338"/>
      <c r="BA90" s="338"/>
      <c r="BB90" s="338"/>
      <c r="BC90" s="338"/>
      <c r="BD90" s="338">
        <v>3047472</v>
      </c>
      <c r="BE90" s="338"/>
      <c r="BF90" s="338"/>
      <c r="BG90" s="338"/>
      <c r="BH90" s="338"/>
      <c r="BI90" s="338"/>
      <c r="BJ90" s="338"/>
      <c r="BK90" s="338">
        <v>3157472</v>
      </c>
      <c r="BL90" s="338"/>
      <c r="BM90" s="338"/>
      <c r="BN90" s="338"/>
      <c r="BO90" s="338"/>
      <c r="BP90" s="338"/>
      <c r="BQ90" s="338"/>
      <c r="BR90" s="320"/>
      <c r="BS90" s="320"/>
      <c r="BT90" s="320"/>
      <c r="BU90" s="320"/>
      <c r="BV90" s="320"/>
      <c r="BW90" s="320"/>
      <c r="BX90" s="321"/>
    </row>
    <row r="91" spans="1:76" s="5" customFormat="1" ht="23.25" customHeight="1">
      <c r="A91" s="342" t="s">
        <v>246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4"/>
      <c r="AF91" s="329" t="s">
        <v>245</v>
      </c>
      <c r="AG91" s="325"/>
      <c r="AH91" s="325"/>
      <c r="AI91" s="325"/>
      <c r="AJ91" s="325" t="s">
        <v>149</v>
      </c>
      <c r="AK91" s="325"/>
      <c r="AL91" s="325"/>
      <c r="AM91" s="325"/>
      <c r="AN91" s="325"/>
      <c r="AO91" s="325"/>
      <c r="AP91" s="325"/>
      <c r="AQ91" s="325"/>
      <c r="AR91" s="325"/>
      <c r="AS91" s="325"/>
      <c r="AT91" s="325"/>
      <c r="AU91" s="325"/>
      <c r="AV91" s="325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/>
      <c r="BM91" s="338"/>
      <c r="BN91" s="338"/>
      <c r="BO91" s="338"/>
      <c r="BP91" s="338"/>
      <c r="BQ91" s="338"/>
      <c r="BR91" s="320"/>
      <c r="BS91" s="320"/>
      <c r="BT91" s="320"/>
      <c r="BU91" s="320"/>
      <c r="BV91" s="320"/>
      <c r="BW91" s="320"/>
      <c r="BX91" s="321"/>
    </row>
    <row r="92" spans="1:76" s="5" customFormat="1" ht="36" customHeight="1">
      <c r="A92" s="339" t="s">
        <v>158</v>
      </c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1"/>
      <c r="AF92" s="329" t="s">
        <v>247</v>
      </c>
      <c r="AG92" s="325"/>
      <c r="AH92" s="325"/>
      <c r="AI92" s="325"/>
      <c r="AJ92" s="325" t="s">
        <v>150</v>
      </c>
      <c r="AK92" s="325"/>
      <c r="AL92" s="325"/>
      <c r="AM92" s="325"/>
      <c r="AN92" s="325"/>
      <c r="AO92" s="325"/>
      <c r="AP92" s="325"/>
      <c r="AQ92" s="325"/>
      <c r="AR92" s="325"/>
      <c r="AS92" s="325"/>
      <c r="AT92" s="325"/>
      <c r="AU92" s="325"/>
      <c r="AV92" s="325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/>
      <c r="BM92" s="338"/>
      <c r="BN92" s="338"/>
      <c r="BO92" s="338"/>
      <c r="BP92" s="338"/>
      <c r="BQ92" s="338"/>
      <c r="BR92" s="320"/>
      <c r="BS92" s="320"/>
      <c r="BT92" s="320"/>
      <c r="BU92" s="320"/>
      <c r="BV92" s="320"/>
      <c r="BW92" s="320"/>
      <c r="BX92" s="321"/>
    </row>
    <row r="93" spans="1:76" s="5" customFormat="1" ht="24" customHeight="1">
      <c r="A93" s="339" t="s">
        <v>249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1"/>
      <c r="AF93" s="329" t="s">
        <v>248</v>
      </c>
      <c r="AG93" s="325"/>
      <c r="AH93" s="325"/>
      <c r="AI93" s="325"/>
      <c r="AJ93" s="325" t="s">
        <v>151</v>
      </c>
      <c r="AK93" s="325"/>
      <c r="AL93" s="325"/>
      <c r="AM93" s="325"/>
      <c r="AN93" s="325"/>
      <c r="AO93" s="325"/>
      <c r="AP93" s="325"/>
      <c r="AQ93" s="325"/>
      <c r="AR93" s="325"/>
      <c r="AS93" s="325"/>
      <c r="AT93" s="325"/>
      <c r="AU93" s="325"/>
      <c r="AV93" s="325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1"/>
    </row>
    <row r="94" spans="1:76" s="5" customFormat="1" ht="12">
      <c r="A94" s="335" t="s">
        <v>159</v>
      </c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7"/>
      <c r="AF94" s="331" t="s">
        <v>147</v>
      </c>
      <c r="AG94" s="330"/>
      <c r="AH94" s="330"/>
      <c r="AI94" s="330"/>
      <c r="AJ94" s="330" t="s">
        <v>148</v>
      </c>
      <c r="AK94" s="330"/>
      <c r="AL94" s="330"/>
      <c r="AM94" s="330"/>
      <c r="AN94" s="330"/>
      <c r="AO94" s="330"/>
      <c r="AP94" s="330"/>
      <c r="AQ94" s="330"/>
      <c r="AR94" s="325"/>
      <c r="AS94" s="325"/>
      <c r="AT94" s="325"/>
      <c r="AU94" s="325"/>
      <c r="AV94" s="325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 t="s">
        <v>34</v>
      </c>
      <c r="BS94" s="320"/>
      <c r="BT94" s="320"/>
      <c r="BU94" s="320"/>
      <c r="BV94" s="320"/>
      <c r="BW94" s="320"/>
      <c r="BX94" s="321"/>
    </row>
    <row r="95" spans="1:76" s="5" customFormat="1" ht="25.5" customHeight="1">
      <c r="A95" s="322" t="s">
        <v>160</v>
      </c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4"/>
      <c r="AF95" s="329" t="s">
        <v>205</v>
      </c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 t="s">
        <v>34</v>
      </c>
      <c r="BS95" s="320"/>
      <c r="BT95" s="320"/>
      <c r="BU95" s="320"/>
      <c r="BV95" s="320"/>
      <c r="BW95" s="320"/>
      <c r="BX95" s="321"/>
    </row>
    <row r="96" spans="1:76" s="5" customFormat="1" ht="12">
      <c r="A96" s="322" t="s">
        <v>161</v>
      </c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4"/>
      <c r="AF96" s="329" t="s">
        <v>206</v>
      </c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 t="s">
        <v>34</v>
      </c>
      <c r="BS96" s="320"/>
      <c r="BT96" s="320"/>
      <c r="BU96" s="320"/>
      <c r="BV96" s="320"/>
      <c r="BW96" s="320"/>
      <c r="BX96" s="321"/>
    </row>
    <row r="97" spans="1:76" s="5" customFormat="1" ht="12">
      <c r="A97" s="332" t="s">
        <v>162</v>
      </c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4"/>
      <c r="AF97" s="329" t="s">
        <v>207</v>
      </c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  <c r="AU97" s="325"/>
      <c r="AV97" s="325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 t="s">
        <v>34</v>
      </c>
      <c r="BS97" s="320"/>
      <c r="BT97" s="320"/>
      <c r="BU97" s="320"/>
      <c r="BV97" s="320"/>
      <c r="BW97" s="320"/>
      <c r="BX97" s="321"/>
    </row>
    <row r="98" spans="1:76" s="5" customFormat="1" ht="12">
      <c r="A98" s="326" t="s">
        <v>163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8"/>
      <c r="AF98" s="331" t="s">
        <v>152</v>
      </c>
      <c r="AG98" s="330"/>
      <c r="AH98" s="330"/>
      <c r="AI98" s="330"/>
      <c r="AJ98" s="330" t="s">
        <v>34</v>
      </c>
      <c r="AK98" s="330"/>
      <c r="AL98" s="330"/>
      <c r="AM98" s="330"/>
      <c r="AN98" s="330"/>
      <c r="AO98" s="330"/>
      <c r="AP98" s="330"/>
      <c r="AQ98" s="330"/>
      <c r="AR98" s="325"/>
      <c r="AS98" s="325"/>
      <c r="AT98" s="325"/>
      <c r="AU98" s="325"/>
      <c r="AV98" s="325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 t="s">
        <v>34</v>
      </c>
      <c r="BS98" s="320"/>
      <c r="BT98" s="320"/>
      <c r="BU98" s="320"/>
      <c r="BV98" s="320"/>
      <c r="BW98" s="320"/>
      <c r="BX98" s="321"/>
    </row>
    <row r="99" spans="1:76" s="5" customFormat="1" ht="24" customHeight="1">
      <c r="A99" s="322" t="s">
        <v>153</v>
      </c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4"/>
      <c r="AF99" s="329" t="s">
        <v>154</v>
      </c>
      <c r="AG99" s="325"/>
      <c r="AH99" s="325"/>
      <c r="AI99" s="325"/>
      <c r="AJ99" s="325" t="s">
        <v>155</v>
      </c>
      <c r="AK99" s="325"/>
      <c r="AL99" s="325"/>
      <c r="AM99" s="325"/>
      <c r="AN99" s="325"/>
      <c r="AO99" s="325"/>
      <c r="AP99" s="325"/>
      <c r="AQ99" s="325"/>
      <c r="AR99" s="325"/>
      <c r="AS99" s="325"/>
      <c r="AT99" s="325"/>
      <c r="AU99" s="325"/>
      <c r="AV99" s="325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 t="s">
        <v>34</v>
      </c>
      <c r="BS99" s="320"/>
      <c r="BT99" s="320"/>
      <c r="BU99" s="320"/>
      <c r="BV99" s="320"/>
      <c r="BW99" s="320"/>
      <c r="BX99" s="321"/>
    </row>
    <row r="100" ht="7.5" customHeight="1"/>
    <row r="102" spans="1:7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</row>
    <row r="103" spans="1:7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</row>
    <row r="104" spans="1:7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spans="1:7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spans="1:7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</row>
    <row r="107" spans="1:76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spans="1:76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76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spans="1:76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</row>
    <row r="112" spans="1:7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</row>
    <row r="113" ht="15" customHeight="1"/>
    <row r="115" ht="15" customHeight="1"/>
    <row r="116" ht="15" customHeight="1"/>
    <row r="117" ht="15" customHeight="1"/>
    <row r="118" ht="15" customHeight="1"/>
    <row r="120" ht="15" customHeight="1"/>
    <row r="121" ht="15" customHeight="1"/>
    <row r="122" ht="15" customHeight="1"/>
  </sheetData>
  <sheetProtection/>
  <mergeCells count="653">
    <mergeCell ref="A83:AE83"/>
    <mergeCell ref="AJ83:AQ83"/>
    <mergeCell ref="BR82:BX82"/>
    <mergeCell ref="A80:AE80"/>
    <mergeCell ref="AF80:AI80"/>
    <mergeCell ref="AJ80:AQ80"/>
    <mergeCell ref="AR80:AV80"/>
    <mergeCell ref="AW80:BC80"/>
    <mergeCell ref="AF83:AI83"/>
    <mergeCell ref="AW83:BC83"/>
    <mergeCell ref="BD42:BJ42"/>
    <mergeCell ref="BR42:BX42"/>
    <mergeCell ref="AJ82:AQ82"/>
    <mergeCell ref="AR61:AV61"/>
    <mergeCell ref="AW62:BC62"/>
    <mergeCell ref="BD62:BJ62"/>
    <mergeCell ref="AR62:AV62"/>
    <mergeCell ref="BD61:BJ61"/>
    <mergeCell ref="BK43:BQ44"/>
    <mergeCell ref="BR43:BX44"/>
    <mergeCell ref="A29:AE29"/>
    <mergeCell ref="BK48:BQ48"/>
    <mergeCell ref="BR48:BX48"/>
    <mergeCell ref="AJ48:AQ48"/>
    <mergeCell ref="A39:AE39"/>
    <mergeCell ref="BK46:BQ47"/>
    <mergeCell ref="BR46:BX47"/>
    <mergeCell ref="BK42:BQ42"/>
    <mergeCell ref="AR35:AV36"/>
    <mergeCell ref="A47:AE47"/>
    <mergeCell ref="AF46:AI47"/>
    <mergeCell ref="AJ46:AQ47"/>
    <mergeCell ref="AR46:AV47"/>
    <mergeCell ref="A46:AE46"/>
    <mergeCell ref="A42:AE42"/>
    <mergeCell ref="AF42:AI42"/>
    <mergeCell ref="AJ42:AQ42"/>
    <mergeCell ref="BR90:BX90"/>
    <mergeCell ref="AF48:AI48"/>
    <mergeCell ref="AR48:AV48"/>
    <mergeCell ref="AW48:BC48"/>
    <mergeCell ref="AW63:BC63"/>
    <mergeCell ref="BR80:BX80"/>
    <mergeCell ref="AJ81:AQ81"/>
    <mergeCell ref="BR50:BX50"/>
    <mergeCell ref="BD52:BJ52"/>
    <mergeCell ref="BR49:BX49"/>
    <mergeCell ref="BD45:BJ45"/>
    <mergeCell ref="AW46:BC47"/>
    <mergeCell ref="BD46:BJ47"/>
    <mergeCell ref="BK55:BQ55"/>
    <mergeCell ref="BR55:BX55"/>
    <mergeCell ref="BD63:BJ63"/>
    <mergeCell ref="AW50:BC50"/>
    <mergeCell ref="BK61:BQ61"/>
    <mergeCell ref="BR61:BX61"/>
    <mergeCell ref="A79:AE79"/>
    <mergeCell ref="AF28:AI29"/>
    <mergeCell ref="AJ28:AQ29"/>
    <mergeCell ref="AR28:AV29"/>
    <mergeCell ref="AW28:BC29"/>
    <mergeCell ref="AF35:AI36"/>
    <mergeCell ref="BD55:BJ55"/>
    <mergeCell ref="BD50:BJ50"/>
    <mergeCell ref="AR82:AV82"/>
    <mergeCell ref="AW82:BC82"/>
    <mergeCell ref="BD82:BJ82"/>
    <mergeCell ref="A61:AE61"/>
    <mergeCell ref="AF61:AI61"/>
    <mergeCell ref="AJ61:AQ61"/>
    <mergeCell ref="AR81:AV81"/>
    <mergeCell ref="A52:AE52"/>
    <mergeCell ref="AJ52:AQ52"/>
    <mergeCell ref="AR52:AV52"/>
    <mergeCell ref="AW52:BC52"/>
    <mergeCell ref="AF52:AI52"/>
    <mergeCell ref="AF51:AI51"/>
    <mergeCell ref="AR51:AV51"/>
    <mergeCell ref="AW51:BC51"/>
    <mergeCell ref="A51:AE51"/>
    <mergeCell ref="A49:AE49"/>
    <mergeCell ref="AJ49:AQ49"/>
    <mergeCell ref="AR49:AV49"/>
    <mergeCell ref="AF49:AI49"/>
    <mergeCell ref="AJ50:AQ50"/>
    <mergeCell ref="AR50:AV50"/>
    <mergeCell ref="A50:AE50"/>
    <mergeCell ref="AF50:AI50"/>
    <mergeCell ref="A64:AE64"/>
    <mergeCell ref="AF64:AI64"/>
    <mergeCell ref="A56:AE56"/>
    <mergeCell ref="AF56:AI56"/>
    <mergeCell ref="A57:AE57"/>
    <mergeCell ref="BK50:BQ50"/>
    <mergeCell ref="A53:AE53"/>
    <mergeCell ref="AF54:AI54"/>
    <mergeCell ref="AJ54:AQ54"/>
    <mergeCell ref="AR54:AV54"/>
    <mergeCell ref="BK49:BQ49"/>
    <mergeCell ref="BD37:BJ37"/>
    <mergeCell ref="AW40:BC40"/>
    <mergeCell ref="AR37:AV37"/>
    <mergeCell ref="AJ51:AQ51"/>
    <mergeCell ref="AW37:BC37"/>
    <mergeCell ref="AW38:BC39"/>
    <mergeCell ref="AR43:AV44"/>
    <mergeCell ref="AJ40:AQ40"/>
    <mergeCell ref="AW42:BC42"/>
    <mergeCell ref="AW41:BC41"/>
    <mergeCell ref="BD40:BJ40"/>
    <mergeCell ref="BD48:BJ48"/>
    <mergeCell ref="BD49:BJ49"/>
    <mergeCell ref="BD43:BJ44"/>
    <mergeCell ref="BD54:BJ54"/>
    <mergeCell ref="BD53:BJ53"/>
    <mergeCell ref="AW53:BC53"/>
    <mergeCell ref="BD51:BJ51"/>
    <mergeCell ref="AW43:BC44"/>
    <mergeCell ref="BR79:BX79"/>
    <mergeCell ref="BK38:BQ39"/>
    <mergeCell ref="BR40:BX40"/>
    <mergeCell ref="AR38:AV39"/>
    <mergeCell ref="AF79:AI79"/>
    <mergeCell ref="AJ79:AQ79"/>
    <mergeCell ref="AR79:AV79"/>
    <mergeCell ref="AW79:BC79"/>
    <mergeCell ref="BD38:BJ39"/>
    <mergeCell ref="AF57:AI57"/>
    <mergeCell ref="AR40:AV40"/>
    <mergeCell ref="AF40:AI40"/>
    <mergeCell ref="A41:AE41"/>
    <mergeCell ref="A45:AE45"/>
    <mergeCell ref="AR41:AV41"/>
    <mergeCell ref="A44:AE44"/>
    <mergeCell ref="AF45:AI45"/>
    <mergeCell ref="AR42:AV42"/>
    <mergeCell ref="AJ56:AQ56"/>
    <mergeCell ref="A55:AE55"/>
    <mergeCell ref="AF55:AI55"/>
    <mergeCell ref="AJ55:AQ55"/>
    <mergeCell ref="A40:AE40"/>
    <mergeCell ref="A43:AE43"/>
    <mergeCell ref="AF43:AI44"/>
    <mergeCell ref="AJ43:AQ44"/>
    <mergeCell ref="AF41:AI41"/>
    <mergeCell ref="AJ53:AQ53"/>
    <mergeCell ref="AW70:BC70"/>
    <mergeCell ref="AJ45:AQ45"/>
    <mergeCell ref="AF53:AI53"/>
    <mergeCell ref="A54:AE54"/>
    <mergeCell ref="AJ41:AQ41"/>
    <mergeCell ref="AR34:AV34"/>
    <mergeCell ref="AJ38:AQ39"/>
    <mergeCell ref="AF34:AI34"/>
    <mergeCell ref="AJ34:AQ34"/>
    <mergeCell ref="A48:AE48"/>
    <mergeCell ref="AW61:BC61"/>
    <mergeCell ref="AR45:AV45"/>
    <mergeCell ref="AW45:BC45"/>
    <mergeCell ref="AW49:BC49"/>
    <mergeCell ref="AW56:BC56"/>
    <mergeCell ref="AR59:AV59"/>
    <mergeCell ref="AW54:BC54"/>
    <mergeCell ref="AR55:AV55"/>
    <mergeCell ref="AW55:BC55"/>
    <mergeCell ref="AR53:AV53"/>
    <mergeCell ref="A37:AE37"/>
    <mergeCell ref="AF37:AI37"/>
    <mergeCell ref="AJ37:AQ37"/>
    <mergeCell ref="A38:AE38"/>
    <mergeCell ref="AF38:AI39"/>
    <mergeCell ref="A36:AE36"/>
    <mergeCell ref="AJ35:AQ36"/>
    <mergeCell ref="A35:AE35"/>
    <mergeCell ref="A32:AE32"/>
    <mergeCell ref="AF32:AI32"/>
    <mergeCell ref="AJ32:AQ32"/>
    <mergeCell ref="AR32:AV32"/>
    <mergeCell ref="AW32:BC32"/>
    <mergeCell ref="A34:AE34"/>
    <mergeCell ref="A33:AE33"/>
    <mergeCell ref="AF33:AI33"/>
    <mergeCell ref="AJ33:AQ33"/>
    <mergeCell ref="AR33:AV33"/>
    <mergeCell ref="AW33:BC33"/>
    <mergeCell ref="BD33:BJ33"/>
    <mergeCell ref="BD32:BJ32"/>
    <mergeCell ref="BK32:BQ32"/>
    <mergeCell ref="BK33:BQ33"/>
    <mergeCell ref="BR32:BX32"/>
    <mergeCell ref="BK31:BQ31"/>
    <mergeCell ref="BR31:BX31"/>
    <mergeCell ref="A31:AE31"/>
    <mergeCell ref="AF31:AI31"/>
    <mergeCell ref="AJ31:AQ31"/>
    <mergeCell ref="AR31:AV31"/>
    <mergeCell ref="AW31:BC31"/>
    <mergeCell ref="A30:AE30"/>
    <mergeCell ref="AJ30:AQ30"/>
    <mergeCell ref="AW30:BC30"/>
    <mergeCell ref="BD31:BJ31"/>
    <mergeCell ref="AF30:AI30"/>
    <mergeCell ref="AR30:AV30"/>
    <mergeCell ref="BK27:BQ27"/>
    <mergeCell ref="BR27:BX27"/>
    <mergeCell ref="BD30:BJ30"/>
    <mergeCell ref="BK30:BQ30"/>
    <mergeCell ref="BR30:BX30"/>
    <mergeCell ref="BD28:BJ29"/>
    <mergeCell ref="BK28:BQ29"/>
    <mergeCell ref="BR28:BX29"/>
    <mergeCell ref="BK24:BQ24"/>
    <mergeCell ref="BR24:BX24"/>
    <mergeCell ref="BD25:BJ25"/>
    <mergeCell ref="BK25:BQ25"/>
    <mergeCell ref="BR25:BX25"/>
    <mergeCell ref="BD26:BJ26"/>
    <mergeCell ref="BK26:BQ26"/>
    <mergeCell ref="BR26:BX26"/>
    <mergeCell ref="AW24:BC24"/>
    <mergeCell ref="AW25:BC25"/>
    <mergeCell ref="AW26:BC26"/>
    <mergeCell ref="AW27:BC27"/>
    <mergeCell ref="BD24:BJ24"/>
    <mergeCell ref="BD27:BJ27"/>
    <mergeCell ref="AJ27:AQ27"/>
    <mergeCell ref="AR24:AV24"/>
    <mergeCell ref="AR25:AV25"/>
    <mergeCell ref="AR26:AV26"/>
    <mergeCell ref="A26:AE26"/>
    <mergeCell ref="A24:AE24"/>
    <mergeCell ref="A25:AE25"/>
    <mergeCell ref="AR27:AV27"/>
    <mergeCell ref="BN21:BO21"/>
    <mergeCell ref="A27:AE27"/>
    <mergeCell ref="A28:AE28"/>
    <mergeCell ref="AF24:AI24"/>
    <mergeCell ref="AF25:AI25"/>
    <mergeCell ref="AF26:AI26"/>
    <mergeCell ref="AF27:AI27"/>
    <mergeCell ref="AJ24:AQ24"/>
    <mergeCell ref="AJ25:AQ25"/>
    <mergeCell ref="AJ26:AQ26"/>
    <mergeCell ref="AR12:AS12"/>
    <mergeCell ref="AR20:AV22"/>
    <mergeCell ref="AW20:BX20"/>
    <mergeCell ref="BR21:BX22"/>
    <mergeCell ref="A19:BX19"/>
    <mergeCell ref="BD21:BF21"/>
    <mergeCell ref="BG21:BH21"/>
    <mergeCell ref="BI21:BJ21"/>
    <mergeCell ref="BD22:BJ22"/>
    <mergeCell ref="BK21:BM21"/>
    <mergeCell ref="BK23:BQ23"/>
    <mergeCell ref="BR23:BX23"/>
    <mergeCell ref="BK22:BQ22"/>
    <mergeCell ref="AF23:AI23"/>
    <mergeCell ref="AJ23:AQ23"/>
    <mergeCell ref="AR23:AV23"/>
    <mergeCell ref="AW23:BC23"/>
    <mergeCell ref="AJ20:AQ22"/>
    <mergeCell ref="BP21:BQ21"/>
    <mergeCell ref="AW21:AY21"/>
    <mergeCell ref="A23:AE23"/>
    <mergeCell ref="BD23:BJ23"/>
    <mergeCell ref="AZ21:BA21"/>
    <mergeCell ref="BB21:BC21"/>
    <mergeCell ref="AF20:AI22"/>
    <mergeCell ref="AW22:BC22"/>
    <mergeCell ref="A20:AE22"/>
    <mergeCell ref="BF18:BP18"/>
    <mergeCell ref="BQ14:BX14"/>
    <mergeCell ref="BQ15:BX15"/>
    <mergeCell ref="BQ16:BX16"/>
    <mergeCell ref="AT12:AU12"/>
    <mergeCell ref="AV12:AW12"/>
    <mergeCell ref="N14:BE14"/>
    <mergeCell ref="H17:BE17"/>
    <mergeCell ref="AG12:AH12"/>
    <mergeCell ref="AJ12:AQ12"/>
    <mergeCell ref="A10:AX10"/>
    <mergeCell ref="X11:AA11"/>
    <mergeCell ref="AB11:AC11"/>
    <mergeCell ref="BQ13:BX13"/>
    <mergeCell ref="BQ18:BX18"/>
    <mergeCell ref="BF13:BP13"/>
    <mergeCell ref="BF14:BP14"/>
    <mergeCell ref="BF15:BP15"/>
    <mergeCell ref="BF16:BP16"/>
    <mergeCell ref="BF17:BP17"/>
    <mergeCell ref="AQ11:AR11"/>
    <mergeCell ref="AV11:AW11"/>
    <mergeCell ref="BD8:BE8"/>
    <mergeCell ref="BG8:BN8"/>
    <mergeCell ref="BQ17:BX17"/>
    <mergeCell ref="AX11:BB11"/>
    <mergeCell ref="BQ10:BX11"/>
    <mergeCell ref="BQ12:BX12"/>
    <mergeCell ref="BF12:BP12"/>
    <mergeCell ref="AY10:AZ10"/>
    <mergeCell ref="BQ8:BR8"/>
    <mergeCell ref="BM6:BW6"/>
    <mergeCell ref="BM7:BW7"/>
    <mergeCell ref="BO8:BP8"/>
    <mergeCell ref="BC3:BX3"/>
    <mergeCell ref="BC5:BX5"/>
    <mergeCell ref="BD6:BK6"/>
    <mergeCell ref="BD7:BK7"/>
    <mergeCell ref="BK40:BQ40"/>
    <mergeCell ref="BD41:BJ41"/>
    <mergeCell ref="BK41:BQ41"/>
    <mergeCell ref="AW34:BC34"/>
    <mergeCell ref="BD34:BJ34"/>
    <mergeCell ref="BK34:BQ34"/>
    <mergeCell ref="AW35:BC36"/>
    <mergeCell ref="BD35:BJ36"/>
    <mergeCell ref="BK35:BQ36"/>
    <mergeCell ref="BK37:BQ37"/>
    <mergeCell ref="BR35:BX36"/>
    <mergeCell ref="BR33:BX33"/>
    <mergeCell ref="BR37:BX37"/>
    <mergeCell ref="BK52:BQ52"/>
    <mergeCell ref="BK56:BQ56"/>
    <mergeCell ref="BR56:BX56"/>
    <mergeCell ref="BK51:BQ51"/>
    <mergeCell ref="BR38:BX39"/>
    <mergeCell ref="BR41:BX41"/>
    <mergeCell ref="BR34:BX34"/>
    <mergeCell ref="BK57:BQ57"/>
    <mergeCell ref="BR57:BX57"/>
    <mergeCell ref="BR51:BX51"/>
    <mergeCell ref="BK45:BQ45"/>
    <mergeCell ref="BR45:BX45"/>
    <mergeCell ref="BK54:BQ54"/>
    <mergeCell ref="BR54:BX54"/>
    <mergeCell ref="BR52:BX52"/>
    <mergeCell ref="BK53:BQ53"/>
    <mergeCell ref="BR53:BX53"/>
    <mergeCell ref="BD56:BJ56"/>
    <mergeCell ref="AJ57:AQ57"/>
    <mergeCell ref="AR57:AV57"/>
    <mergeCell ref="AW57:BC57"/>
    <mergeCell ref="BD58:BJ58"/>
    <mergeCell ref="AJ58:AQ58"/>
    <mergeCell ref="BD57:BJ57"/>
    <mergeCell ref="AR56:AV56"/>
    <mergeCell ref="AR58:AV58"/>
    <mergeCell ref="AW58:BC58"/>
    <mergeCell ref="AF58:AI58"/>
    <mergeCell ref="A58:AE58"/>
    <mergeCell ref="AW60:BC60"/>
    <mergeCell ref="AJ60:AQ60"/>
    <mergeCell ref="A59:AE59"/>
    <mergeCell ref="AF59:AI59"/>
    <mergeCell ref="AJ59:AQ59"/>
    <mergeCell ref="A60:AE60"/>
    <mergeCell ref="AF60:AI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BK62:BQ62"/>
    <mergeCell ref="BR62:BX62"/>
    <mergeCell ref="AR60:AV60"/>
    <mergeCell ref="A63:AE63"/>
    <mergeCell ref="AF63:AI63"/>
    <mergeCell ref="AJ63:AQ63"/>
    <mergeCell ref="AR63:AV63"/>
    <mergeCell ref="A62:AE62"/>
    <mergeCell ref="AF62:AI62"/>
    <mergeCell ref="AJ62:AQ62"/>
    <mergeCell ref="BK63:BQ63"/>
    <mergeCell ref="BR63:BX63"/>
    <mergeCell ref="BK65:BQ65"/>
    <mergeCell ref="BK70:BQ70"/>
    <mergeCell ref="BR72:BX72"/>
    <mergeCell ref="BK68:BQ68"/>
    <mergeCell ref="BR68:BX68"/>
    <mergeCell ref="BR65:BX65"/>
    <mergeCell ref="BR66:BX66"/>
    <mergeCell ref="BR69:BX69"/>
    <mergeCell ref="AJ64:AQ64"/>
    <mergeCell ref="AR64:AV64"/>
    <mergeCell ref="AW64:BC64"/>
    <mergeCell ref="BR64:BX64"/>
    <mergeCell ref="BD64:BJ64"/>
    <mergeCell ref="AW68:BC68"/>
    <mergeCell ref="BK64:BQ64"/>
    <mergeCell ref="BK67:BQ67"/>
    <mergeCell ref="BR67:BX67"/>
    <mergeCell ref="AW65:BC65"/>
    <mergeCell ref="BD65:BJ65"/>
    <mergeCell ref="AW66:BC66"/>
    <mergeCell ref="BD66:BJ66"/>
    <mergeCell ref="BK66:BQ66"/>
    <mergeCell ref="BR77:BX77"/>
    <mergeCell ref="AR67:AV67"/>
    <mergeCell ref="AW67:BC67"/>
    <mergeCell ref="BD67:BJ67"/>
    <mergeCell ref="BD68:BJ68"/>
    <mergeCell ref="BD70:BJ70"/>
    <mergeCell ref="A66:AE66"/>
    <mergeCell ref="AF66:AI66"/>
    <mergeCell ref="AJ66:AQ66"/>
    <mergeCell ref="AR66:AV66"/>
    <mergeCell ref="A65:AE65"/>
    <mergeCell ref="AF65:AI65"/>
    <mergeCell ref="AJ65:AQ65"/>
    <mergeCell ref="AR65:AV65"/>
    <mergeCell ref="AF68:AI68"/>
    <mergeCell ref="A68:AE68"/>
    <mergeCell ref="AJ68:AQ68"/>
    <mergeCell ref="AR68:AV68"/>
    <mergeCell ref="A67:AE67"/>
    <mergeCell ref="AF67:AI67"/>
    <mergeCell ref="AJ67:AQ67"/>
    <mergeCell ref="AJ70:AQ70"/>
    <mergeCell ref="AF70:AI70"/>
    <mergeCell ref="AW71:BC71"/>
    <mergeCell ref="A69:AE69"/>
    <mergeCell ref="BD69:BJ69"/>
    <mergeCell ref="BK69:BQ69"/>
    <mergeCell ref="AF69:AI69"/>
    <mergeCell ref="AW69:BC69"/>
    <mergeCell ref="AJ69:AQ69"/>
    <mergeCell ref="AR69:AV69"/>
    <mergeCell ref="AJ71:AQ71"/>
    <mergeCell ref="AR71:AV71"/>
    <mergeCell ref="AR70:AV70"/>
    <mergeCell ref="BR70:BX70"/>
    <mergeCell ref="A71:AE71"/>
    <mergeCell ref="BD71:BJ71"/>
    <mergeCell ref="BK71:BQ71"/>
    <mergeCell ref="BR71:BX71"/>
    <mergeCell ref="A70:AE70"/>
    <mergeCell ref="AF71:AI71"/>
    <mergeCell ref="BD73:BJ73"/>
    <mergeCell ref="BK73:BQ73"/>
    <mergeCell ref="BR73:BX73"/>
    <mergeCell ref="AR73:AV73"/>
    <mergeCell ref="AW73:BC73"/>
    <mergeCell ref="BD72:BJ72"/>
    <mergeCell ref="BK72:BQ72"/>
    <mergeCell ref="AW72:BC72"/>
    <mergeCell ref="AR72:AV72"/>
    <mergeCell ref="AR74:AV74"/>
    <mergeCell ref="AW74:BC74"/>
    <mergeCell ref="A72:AE72"/>
    <mergeCell ref="AF73:AI73"/>
    <mergeCell ref="AJ72:AQ72"/>
    <mergeCell ref="AJ73:AQ73"/>
    <mergeCell ref="A73:AE73"/>
    <mergeCell ref="AF72:AI72"/>
    <mergeCell ref="BR75:BX75"/>
    <mergeCell ref="BR74:BX74"/>
    <mergeCell ref="A74:AE74"/>
    <mergeCell ref="AF75:AI75"/>
    <mergeCell ref="AJ74:AQ74"/>
    <mergeCell ref="AW75:BC75"/>
    <mergeCell ref="A75:AE75"/>
    <mergeCell ref="AF74:AI74"/>
    <mergeCell ref="AJ75:AQ75"/>
    <mergeCell ref="AR75:AV75"/>
    <mergeCell ref="BD75:BJ75"/>
    <mergeCell ref="BK76:BQ76"/>
    <mergeCell ref="BD76:BJ76"/>
    <mergeCell ref="BD74:BJ74"/>
    <mergeCell ref="BK74:BQ74"/>
    <mergeCell ref="BK75:BQ75"/>
    <mergeCell ref="A76:AE76"/>
    <mergeCell ref="AF77:AI77"/>
    <mergeCell ref="A82:AE82"/>
    <mergeCell ref="AF82:AI82"/>
    <mergeCell ref="A81:AE81"/>
    <mergeCell ref="A77:AE77"/>
    <mergeCell ref="AF76:AI76"/>
    <mergeCell ref="AF81:AI81"/>
    <mergeCell ref="A78:AE78"/>
    <mergeCell ref="AF78:AI78"/>
    <mergeCell ref="BR76:BX76"/>
    <mergeCell ref="AR76:AV76"/>
    <mergeCell ref="AJ76:AQ76"/>
    <mergeCell ref="AJ77:AQ77"/>
    <mergeCell ref="AR77:AV77"/>
    <mergeCell ref="AW77:BC77"/>
    <mergeCell ref="AW76:BC76"/>
    <mergeCell ref="BK77:BQ77"/>
    <mergeCell ref="BD77:BJ77"/>
    <mergeCell ref="BR84:BX84"/>
    <mergeCell ref="BR83:BX83"/>
    <mergeCell ref="BR78:BX78"/>
    <mergeCell ref="BD79:BJ79"/>
    <mergeCell ref="BK79:BQ79"/>
    <mergeCell ref="BD80:BJ80"/>
    <mergeCell ref="BK83:BQ83"/>
    <mergeCell ref="BR81:BX81"/>
    <mergeCell ref="BK80:BQ80"/>
    <mergeCell ref="BK84:BQ84"/>
    <mergeCell ref="AR78:AV78"/>
    <mergeCell ref="BD84:BJ84"/>
    <mergeCell ref="AW78:BC78"/>
    <mergeCell ref="BK78:BQ78"/>
    <mergeCell ref="AJ78:AQ78"/>
    <mergeCell ref="BD78:BJ78"/>
    <mergeCell ref="BK82:BQ82"/>
    <mergeCell ref="AW81:BC81"/>
    <mergeCell ref="BD81:BJ81"/>
    <mergeCell ref="BK81:BQ81"/>
    <mergeCell ref="AR84:AV84"/>
    <mergeCell ref="AR83:AV83"/>
    <mergeCell ref="AW84:BC84"/>
    <mergeCell ref="BD83:BJ83"/>
    <mergeCell ref="A84:AE84"/>
    <mergeCell ref="AF85:AI85"/>
    <mergeCell ref="AJ84:AQ84"/>
    <mergeCell ref="AJ85:AQ85"/>
    <mergeCell ref="A85:AE85"/>
    <mergeCell ref="AF84:AI84"/>
    <mergeCell ref="BR86:BX86"/>
    <mergeCell ref="BR85:BX85"/>
    <mergeCell ref="BK86:BQ86"/>
    <mergeCell ref="BD85:BJ85"/>
    <mergeCell ref="BK85:BQ85"/>
    <mergeCell ref="BD86:BJ86"/>
    <mergeCell ref="A86:AE86"/>
    <mergeCell ref="AR85:AV85"/>
    <mergeCell ref="AW85:BC85"/>
    <mergeCell ref="AR86:AV86"/>
    <mergeCell ref="AF86:AI86"/>
    <mergeCell ref="AJ86:AQ86"/>
    <mergeCell ref="AW86:BC86"/>
    <mergeCell ref="BK88:BQ88"/>
    <mergeCell ref="BR88:BX88"/>
    <mergeCell ref="AR88:AV88"/>
    <mergeCell ref="AW88:BC88"/>
    <mergeCell ref="BR87:BX87"/>
    <mergeCell ref="AR87:AV87"/>
    <mergeCell ref="AW87:BC87"/>
    <mergeCell ref="BD87:BJ87"/>
    <mergeCell ref="BK87:BQ87"/>
    <mergeCell ref="A87:AE87"/>
    <mergeCell ref="AF88:AI88"/>
    <mergeCell ref="AJ87:AQ87"/>
    <mergeCell ref="AJ88:AQ88"/>
    <mergeCell ref="A88:AE88"/>
    <mergeCell ref="BD88:BJ88"/>
    <mergeCell ref="AF87:AI87"/>
    <mergeCell ref="BR91:BX91"/>
    <mergeCell ref="AF91:AI91"/>
    <mergeCell ref="AW91:BC91"/>
    <mergeCell ref="BR89:BX89"/>
    <mergeCell ref="AF90:AI90"/>
    <mergeCell ref="AJ90:AQ90"/>
    <mergeCell ref="AF89:AI89"/>
    <mergeCell ref="AW90:BC90"/>
    <mergeCell ref="BD90:BJ90"/>
    <mergeCell ref="BK90:BQ90"/>
    <mergeCell ref="BD91:BJ91"/>
    <mergeCell ref="BK91:BQ91"/>
    <mergeCell ref="BD89:BJ89"/>
    <mergeCell ref="BK89:BQ89"/>
    <mergeCell ref="AR90:AV90"/>
    <mergeCell ref="A89:AE89"/>
    <mergeCell ref="A90:AE90"/>
    <mergeCell ref="AW89:BC89"/>
    <mergeCell ref="AJ89:AQ89"/>
    <mergeCell ref="AR89:AV89"/>
    <mergeCell ref="AW92:BC92"/>
    <mergeCell ref="AR92:AV92"/>
    <mergeCell ref="AF92:AI92"/>
    <mergeCell ref="AJ91:AQ91"/>
    <mergeCell ref="AR91:AV91"/>
    <mergeCell ref="A91:AE91"/>
    <mergeCell ref="BD92:BJ92"/>
    <mergeCell ref="BK92:BQ92"/>
    <mergeCell ref="BR92:BX92"/>
    <mergeCell ref="A93:AE93"/>
    <mergeCell ref="BD93:BJ93"/>
    <mergeCell ref="BK93:BQ93"/>
    <mergeCell ref="BR93:BX93"/>
    <mergeCell ref="A92:AE92"/>
    <mergeCell ref="AF93:AI93"/>
    <mergeCell ref="AJ92:AQ92"/>
    <mergeCell ref="AJ94:AQ94"/>
    <mergeCell ref="AR94:AV94"/>
    <mergeCell ref="AF94:AI94"/>
    <mergeCell ref="AJ93:AQ93"/>
    <mergeCell ref="AR93:AV93"/>
    <mergeCell ref="AW93:BC93"/>
    <mergeCell ref="AW94:BC94"/>
    <mergeCell ref="BD94:BJ94"/>
    <mergeCell ref="BK94:BQ94"/>
    <mergeCell ref="BD96:BJ96"/>
    <mergeCell ref="BK96:BQ96"/>
    <mergeCell ref="BR94:BX94"/>
    <mergeCell ref="A95:AE95"/>
    <mergeCell ref="BD95:BJ95"/>
    <mergeCell ref="BK95:BQ95"/>
    <mergeCell ref="BR95:BX95"/>
    <mergeCell ref="A94:AE94"/>
    <mergeCell ref="AR96:AV96"/>
    <mergeCell ref="AF96:AI96"/>
    <mergeCell ref="AJ95:AQ95"/>
    <mergeCell ref="AR95:AV95"/>
    <mergeCell ref="AW95:BC95"/>
    <mergeCell ref="AW96:BC96"/>
    <mergeCell ref="AF95:AI95"/>
    <mergeCell ref="BR96:BX96"/>
    <mergeCell ref="A97:AE97"/>
    <mergeCell ref="BD97:BJ97"/>
    <mergeCell ref="BK97:BQ97"/>
    <mergeCell ref="BR97:BX97"/>
    <mergeCell ref="A96:AE96"/>
    <mergeCell ref="AF97:AI97"/>
    <mergeCell ref="AJ96:AQ96"/>
    <mergeCell ref="AJ97:AQ97"/>
    <mergeCell ref="AR97:AV97"/>
    <mergeCell ref="A99:AE99"/>
    <mergeCell ref="AJ99:AQ99"/>
    <mergeCell ref="AW97:BC97"/>
    <mergeCell ref="AW98:BC98"/>
    <mergeCell ref="A98:AE98"/>
    <mergeCell ref="AF99:AI99"/>
    <mergeCell ref="AJ98:AQ98"/>
    <mergeCell ref="AR98:AV98"/>
    <mergeCell ref="AR99:AV99"/>
    <mergeCell ref="AF98:AI98"/>
    <mergeCell ref="BD98:BJ98"/>
    <mergeCell ref="BK98:BQ98"/>
    <mergeCell ref="BR98:BX98"/>
    <mergeCell ref="AW99:BC99"/>
    <mergeCell ref="BD99:BJ99"/>
    <mergeCell ref="BK99:BQ99"/>
    <mergeCell ref="BR99:BX99"/>
    <mergeCell ref="A1:V1"/>
    <mergeCell ref="BC2:BX2"/>
    <mergeCell ref="A3:V3"/>
    <mergeCell ref="BC4:BX4"/>
    <mergeCell ref="A5:V5"/>
    <mergeCell ref="B6:I6"/>
    <mergeCell ref="K6:U6"/>
    <mergeCell ref="BC1:BX1"/>
    <mergeCell ref="B7:I7"/>
    <mergeCell ref="K7:U7"/>
    <mergeCell ref="B8:C8"/>
    <mergeCell ref="E8:L8"/>
    <mergeCell ref="M8:N8"/>
    <mergeCell ref="O8:P8"/>
  </mergeCells>
  <printOptions horizontalCentered="1"/>
  <pageMargins left="0.3937007874015748" right="0.3937007874015748" top="0.3937007874015748" bottom="0.3937007874015748" header="0" footer="0"/>
  <pageSetup fitToHeight="4" fitToWidth="1" horizontalDpi="600" verticalDpi="600" orientation="portrait" paperSize="9" scale="69" r:id="rId1"/>
  <rowBreaks count="2" manualBreakCount="2">
    <brk id="36" max="255" man="1"/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8">
      <selection activeCell="G59" sqref="G59"/>
    </sheetView>
  </sheetViews>
  <sheetFormatPr defaultColWidth="9.33203125" defaultRowHeight="12.75"/>
  <cols>
    <col min="1" max="1" width="9.33203125" style="35" customWidth="1"/>
    <col min="2" max="2" width="44.5" style="35" customWidth="1"/>
    <col min="3" max="3" width="14.5" style="35" customWidth="1"/>
    <col min="4" max="5" width="9.33203125" style="35" customWidth="1"/>
    <col min="6" max="6" width="21.83203125" style="35" customWidth="1"/>
    <col min="7" max="7" width="17.33203125" style="35" customWidth="1"/>
    <col min="8" max="8" width="11.66015625" style="35" bestFit="1" customWidth="1"/>
    <col min="9" max="9" width="12.33203125" style="35" bestFit="1" customWidth="1"/>
    <col min="10" max="16384" width="9.33203125" style="35" customWidth="1"/>
  </cols>
  <sheetData>
    <row r="1" spans="1:7" ht="32.25" customHeight="1">
      <c r="A1" s="711" t="s">
        <v>395</v>
      </c>
      <c r="B1" s="711"/>
      <c r="C1" s="711"/>
      <c r="D1" s="711"/>
      <c r="E1" s="711"/>
      <c r="F1" s="711"/>
      <c r="G1" s="711"/>
    </row>
    <row r="2" spans="1:6" ht="15">
      <c r="A2" s="104" t="s">
        <v>396</v>
      </c>
      <c r="B2" s="104"/>
      <c r="C2" s="104"/>
      <c r="D2" s="68"/>
      <c r="E2" s="68"/>
      <c r="F2" s="68"/>
    </row>
    <row r="3" spans="1:7" ht="61.5" customHeight="1">
      <c r="A3" s="778" t="s">
        <v>284</v>
      </c>
      <c r="B3" s="778"/>
      <c r="C3" s="778"/>
      <c r="D3" s="778"/>
      <c r="E3" s="778"/>
      <c r="F3" s="778"/>
      <c r="G3" s="778"/>
    </row>
    <row r="4" spans="1:7" ht="14.25">
      <c r="A4" s="713" t="s">
        <v>397</v>
      </c>
      <c r="B4" s="713"/>
      <c r="C4" s="713"/>
      <c r="D4" s="713"/>
      <c r="E4" s="713"/>
      <c r="F4" s="713"/>
      <c r="G4" s="713"/>
    </row>
    <row r="5" spans="1:7" ht="75">
      <c r="A5" s="38" t="s">
        <v>286</v>
      </c>
      <c r="B5" s="685" t="s">
        <v>321</v>
      </c>
      <c r="C5" s="783"/>
      <c r="D5" s="38" t="s">
        <v>398</v>
      </c>
      <c r="E5" s="38" t="s">
        <v>399</v>
      </c>
      <c r="F5" s="38" t="s">
        <v>400</v>
      </c>
      <c r="G5" s="38" t="s">
        <v>401</v>
      </c>
    </row>
    <row r="6" spans="1:7" ht="15">
      <c r="A6" s="40">
        <v>1</v>
      </c>
      <c r="B6" s="687">
        <v>2</v>
      </c>
      <c r="C6" s="785"/>
      <c r="D6" s="40">
        <v>3</v>
      </c>
      <c r="E6" s="40">
        <v>4</v>
      </c>
      <c r="F6" s="40">
        <v>5</v>
      </c>
      <c r="G6" s="40">
        <v>6</v>
      </c>
    </row>
    <row r="7" spans="1:7" ht="28.5" customHeight="1">
      <c r="A7" s="112">
        <v>1</v>
      </c>
      <c r="B7" s="772" t="s">
        <v>402</v>
      </c>
      <c r="C7" s="792"/>
      <c r="D7" s="112">
        <v>2</v>
      </c>
      <c r="E7" s="40">
        <v>12</v>
      </c>
      <c r="F7" s="40">
        <v>970</v>
      </c>
      <c r="G7" s="44">
        <f>D7*E7*F7</f>
        <v>23280</v>
      </c>
    </row>
    <row r="8" spans="1:7" ht="28.5" customHeight="1">
      <c r="A8" s="112">
        <v>2</v>
      </c>
      <c r="B8" s="772" t="s">
        <v>402</v>
      </c>
      <c r="C8" s="792"/>
      <c r="D8" s="112">
        <v>2</v>
      </c>
      <c r="E8" s="40">
        <v>12</v>
      </c>
      <c r="F8" s="40">
        <v>450</v>
      </c>
      <c r="G8" s="44">
        <f>D8*E8*F8</f>
        <v>10800</v>
      </c>
    </row>
    <row r="9" spans="1:7" ht="15">
      <c r="A9" s="112">
        <v>3</v>
      </c>
      <c r="B9" s="772" t="s">
        <v>403</v>
      </c>
      <c r="C9" s="792"/>
      <c r="D9" s="112">
        <v>1</v>
      </c>
      <c r="E9" s="40">
        <v>12</v>
      </c>
      <c r="F9" s="40">
        <v>0</v>
      </c>
      <c r="G9" s="44">
        <f>D9*E9*F9</f>
        <v>0</v>
      </c>
    </row>
    <row r="10" spans="1:7" ht="15">
      <c r="A10" s="112">
        <v>4</v>
      </c>
      <c r="B10" s="772" t="s">
        <v>404</v>
      </c>
      <c r="C10" s="792"/>
      <c r="D10" s="112">
        <v>1</v>
      </c>
      <c r="E10" s="40">
        <v>12</v>
      </c>
      <c r="F10" s="40">
        <v>9100</v>
      </c>
      <c r="G10" s="44">
        <f>E10*F10</f>
        <v>109200</v>
      </c>
    </row>
    <row r="11" spans="1:7" ht="15">
      <c r="A11" s="112">
        <v>5</v>
      </c>
      <c r="B11" s="772" t="s">
        <v>405</v>
      </c>
      <c r="C11" s="792"/>
      <c r="D11" s="112">
        <v>1</v>
      </c>
      <c r="E11" s="40">
        <v>1</v>
      </c>
      <c r="F11" s="40">
        <v>15438</v>
      </c>
      <c r="G11" s="44">
        <f>F11-18.28</f>
        <v>15419.72</v>
      </c>
    </row>
    <row r="12" spans="1:7" ht="34.5" customHeight="1">
      <c r="A12" s="112">
        <v>6</v>
      </c>
      <c r="B12" s="772" t="s">
        <v>406</v>
      </c>
      <c r="C12" s="792"/>
      <c r="D12" s="112">
        <v>1</v>
      </c>
      <c r="E12" s="40">
        <v>3</v>
      </c>
      <c r="F12" s="40">
        <v>250</v>
      </c>
      <c r="G12" s="44">
        <f>D12*E12*F12</f>
        <v>750</v>
      </c>
    </row>
    <row r="13" spans="1:7" ht="29.25" customHeight="1" hidden="1">
      <c r="A13" s="112"/>
      <c r="B13" s="772"/>
      <c r="C13" s="787"/>
      <c r="D13" s="112"/>
      <c r="E13" s="40"/>
      <c r="F13" s="40"/>
      <c r="G13" s="44"/>
    </row>
    <row r="14" spans="1:7" ht="33.75" customHeight="1" hidden="1">
      <c r="A14" s="112"/>
      <c r="B14" s="772"/>
      <c r="C14" s="787"/>
      <c r="D14" s="112"/>
      <c r="E14" s="40"/>
      <c r="F14" s="40"/>
      <c r="G14" s="44"/>
    </row>
    <row r="15" spans="1:7" ht="19.5" customHeight="1">
      <c r="A15" s="112"/>
      <c r="B15" s="788" t="s">
        <v>293</v>
      </c>
      <c r="C15" s="789"/>
      <c r="D15" s="95" t="s">
        <v>34</v>
      </c>
      <c r="E15" s="40" t="s">
        <v>34</v>
      </c>
      <c r="F15" s="40" t="s">
        <v>34</v>
      </c>
      <c r="G15" s="44">
        <f>SUM(G7:G14)</f>
        <v>159449.72</v>
      </c>
    </row>
    <row r="16" spans="1:7" ht="27" customHeight="1">
      <c r="A16" s="112"/>
      <c r="B16" s="790" t="s">
        <v>547</v>
      </c>
      <c r="C16" s="791"/>
      <c r="D16" s="112"/>
      <c r="E16" s="40"/>
      <c r="F16" s="40"/>
      <c r="G16" s="44"/>
    </row>
    <row r="17" spans="1:9" ht="15">
      <c r="A17" s="49"/>
      <c r="B17" s="788" t="s">
        <v>327</v>
      </c>
      <c r="C17" s="789"/>
      <c r="D17" s="95" t="s">
        <v>34</v>
      </c>
      <c r="E17" s="40" t="s">
        <v>34</v>
      </c>
      <c r="F17" s="40" t="s">
        <v>34</v>
      </c>
      <c r="G17" s="44">
        <f>G15+G16</f>
        <v>159449.72</v>
      </c>
      <c r="H17" s="35">
        <v>159450</v>
      </c>
      <c r="I17" s="98">
        <f>H17-G17</f>
        <v>0.27999999999883585</v>
      </c>
    </row>
    <row r="19" spans="1:7" ht="14.25" hidden="1">
      <c r="A19" s="713" t="s">
        <v>407</v>
      </c>
      <c r="B19" s="713"/>
      <c r="C19" s="713"/>
      <c r="D19" s="713"/>
      <c r="E19" s="713"/>
      <c r="F19" s="713"/>
      <c r="G19" s="713"/>
    </row>
    <row r="20" spans="1:7" ht="75" hidden="1">
      <c r="A20" s="38" t="s">
        <v>286</v>
      </c>
      <c r="B20" s="685" t="s">
        <v>321</v>
      </c>
      <c r="C20" s="782"/>
      <c r="D20" s="783"/>
      <c r="E20" s="38" t="s">
        <v>408</v>
      </c>
      <c r="F20" s="113" t="s">
        <v>409</v>
      </c>
      <c r="G20" s="38" t="s">
        <v>410</v>
      </c>
    </row>
    <row r="21" spans="1:7" ht="15" hidden="1">
      <c r="A21" s="40">
        <v>1</v>
      </c>
      <c r="B21" s="687">
        <v>2</v>
      </c>
      <c r="C21" s="784"/>
      <c r="D21" s="785"/>
      <c r="E21" s="40">
        <v>3</v>
      </c>
      <c r="F21" s="114">
        <v>4</v>
      </c>
      <c r="G21" s="40">
        <v>5</v>
      </c>
    </row>
    <row r="22" spans="1:7" ht="15" hidden="1">
      <c r="A22" s="49"/>
      <c r="B22" s="687"/>
      <c r="C22" s="784"/>
      <c r="D22" s="785"/>
      <c r="E22" s="49"/>
      <c r="F22" s="114"/>
      <c r="G22" s="49">
        <f>E22*D22</f>
        <v>0</v>
      </c>
    </row>
    <row r="23" spans="1:7" ht="15" hidden="1">
      <c r="A23" s="49"/>
      <c r="B23" s="687"/>
      <c r="C23" s="784"/>
      <c r="D23" s="785"/>
      <c r="E23" s="49"/>
      <c r="F23" s="114"/>
      <c r="G23" s="49">
        <f>E23*D23</f>
        <v>0</v>
      </c>
    </row>
    <row r="24" spans="1:7" ht="15" hidden="1">
      <c r="A24" s="49"/>
      <c r="B24" s="708" t="s">
        <v>327</v>
      </c>
      <c r="C24" s="709"/>
      <c r="D24" s="710"/>
      <c r="E24" s="49"/>
      <c r="F24" s="114"/>
      <c r="G24" s="49"/>
    </row>
    <row r="25" spans="1:7" ht="14.25">
      <c r="A25" s="713" t="s">
        <v>411</v>
      </c>
      <c r="B25" s="713"/>
      <c r="C25" s="713"/>
      <c r="D25" s="713"/>
      <c r="E25" s="713"/>
      <c r="F25" s="713"/>
      <c r="G25" s="713"/>
    </row>
    <row r="26" spans="1:9" ht="75">
      <c r="A26" s="38" t="s">
        <v>286</v>
      </c>
      <c r="B26" s="38" t="s">
        <v>19</v>
      </c>
      <c r="C26" s="38" t="s">
        <v>412</v>
      </c>
      <c r="D26" s="38" t="s">
        <v>413</v>
      </c>
      <c r="E26" s="38" t="s">
        <v>414</v>
      </c>
      <c r="F26" s="38" t="s">
        <v>415</v>
      </c>
      <c r="G26" s="38" t="s">
        <v>416</v>
      </c>
      <c r="H26" s="48"/>
      <c r="I26" s="48"/>
    </row>
    <row r="27" spans="1:9" ht="15">
      <c r="A27" s="40">
        <v>1</v>
      </c>
      <c r="B27" s="40">
        <v>2</v>
      </c>
      <c r="C27" s="40">
        <v>3</v>
      </c>
      <c r="D27" s="40">
        <v>4</v>
      </c>
      <c r="E27" s="40">
        <v>5</v>
      </c>
      <c r="F27" s="40">
        <v>6</v>
      </c>
      <c r="G27" s="40">
        <v>7</v>
      </c>
      <c r="H27" s="48"/>
      <c r="I27" s="48"/>
    </row>
    <row r="28" spans="1:9" ht="15" hidden="1">
      <c r="A28" s="40"/>
      <c r="B28" s="115"/>
      <c r="C28" s="40"/>
      <c r="D28" s="66"/>
      <c r="E28" s="66"/>
      <c r="F28" s="66"/>
      <c r="G28" s="116"/>
      <c r="H28" s="48"/>
      <c r="I28" s="48"/>
    </row>
    <row r="29" spans="1:9" ht="15" hidden="1">
      <c r="A29" s="40"/>
      <c r="B29" s="115"/>
      <c r="C29" s="40"/>
      <c r="D29" s="66"/>
      <c r="E29" s="66"/>
      <c r="F29" s="66"/>
      <c r="G29" s="116"/>
      <c r="H29" s="48"/>
      <c r="I29" s="48"/>
    </row>
    <row r="30" spans="1:9" ht="15" hidden="1">
      <c r="A30" s="40"/>
      <c r="B30" s="115"/>
      <c r="C30" s="40"/>
      <c r="D30" s="66"/>
      <c r="E30" s="66"/>
      <c r="F30" s="66"/>
      <c r="G30" s="116"/>
      <c r="H30" s="48"/>
      <c r="I30" s="48"/>
    </row>
    <row r="31" spans="1:9" ht="15">
      <c r="A31" s="40">
        <v>1</v>
      </c>
      <c r="B31" s="115" t="s">
        <v>420</v>
      </c>
      <c r="C31" s="40" t="s">
        <v>419</v>
      </c>
      <c r="D31" s="66">
        <v>250.7</v>
      </c>
      <c r="E31" s="66">
        <v>35.182</v>
      </c>
      <c r="F31" s="66"/>
      <c r="G31" s="116">
        <f>D31*E31-0.13</f>
        <v>8819.9974</v>
      </c>
      <c r="H31" s="45">
        <f>G31+G32+G34+G36</f>
        <v>34730.00112</v>
      </c>
      <c r="I31" s="48"/>
    </row>
    <row r="32" spans="1:9" ht="15">
      <c r="A32" s="40">
        <v>2</v>
      </c>
      <c r="B32" s="115" t="s">
        <v>421</v>
      </c>
      <c r="C32" s="40" t="s">
        <v>419</v>
      </c>
      <c r="D32" s="66">
        <v>386.4</v>
      </c>
      <c r="E32" s="66">
        <v>50.803</v>
      </c>
      <c r="F32" s="66"/>
      <c r="G32" s="116">
        <f>D32*E32-0.28</f>
        <v>19629.9992</v>
      </c>
      <c r="H32" s="45">
        <v>54887.93</v>
      </c>
      <c r="I32" s="48"/>
    </row>
    <row r="33" spans="1:9" ht="15" hidden="1">
      <c r="A33" s="40"/>
      <c r="B33" s="115"/>
      <c r="C33" s="40"/>
      <c r="D33" s="66"/>
      <c r="E33" s="66"/>
      <c r="F33" s="66"/>
      <c r="G33" s="116"/>
      <c r="H33" s="48"/>
      <c r="I33" s="48"/>
    </row>
    <row r="34" spans="1:9" ht="15">
      <c r="A34" s="40">
        <v>3</v>
      </c>
      <c r="B34" s="115" t="s">
        <v>422</v>
      </c>
      <c r="C34" s="40" t="s">
        <v>419</v>
      </c>
      <c r="D34" s="66">
        <v>10.44</v>
      </c>
      <c r="E34" s="66">
        <v>601.533</v>
      </c>
      <c r="F34" s="66"/>
      <c r="G34" s="116">
        <f>D34*E34</f>
        <v>6280.0045199999995</v>
      </c>
      <c r="H34" s="45">
        <f>H31-H32</f>
        <v>-20157.92888</v>
      </c>
      <c r="I34" s="48"/>
    </row>
    <row r="35" spans="1:9" ht="15">
      <c r="A35" s="40"/>
      <c r="B35" s="115" t="s">
        <v>314</v>
      </c>
      <c r="C35" s="115"/>
      <c r="D35" s="66"/>
      <c r="E35" s="66"/>
      <c r="F35" s="66"/>
      <c r="G35" s="116">
        <f>G31+G32+G34</f>
        <v>34730.00112</v>
      </c>
      <c r="H35" s="48"/>
      <c r="I35" s="48"/>
    </row>
    <row r="36" spans="1:9" ht="36.75" customHeight="1">
      <c r="A36" s="117"/>
      <c r="B36" s="118" t="s">
        <v>547</v>
      </c>
      <c r="C36" s="49"/>
      <c r="D36" s="49"/>
      <c r="E36" s="66"/>
      <c r="F36" s="66"/>
      <c r="G36" s="119"/>
      <c r="H36" s="48"/>
      <c r="I36" s="48"/>
    </row>
    <row r="37" spans="1:9" ht="15">
      <c r="A37" s="49"/>
      <c r="B37" s="115" t="s">
        <v>327</v>
      </c>
      <c r="C37" s="50"/>
      <c r="D37" s="66"/>
      <c r="E37" s="66"/>
      <c r="F37" s="66"/>
      <c r="G37" s="66">
        <f>G35+G36</f>
        <v>34730.00112</v>
      </c>
      <c r="H37" s="48"/>
      <c r="I37" s="48"/>
    </row>
    <row r="38" spans="8:9" ht="12.75" hidden="1">
      <c r="H38" s="48"/>
      <c r="I38" s="48"/>
    </row>
    <row r="39" spans="1:9" ht="14.25" hidden="1">
      <c r="A39" s="713" t="s">
        <v>423</v>
      </c>
      <c r="B39" s="713"/>
      <c r="C39" s="713"/>
      <c r="D39" s="713"/>
      <c r="E39" s="713"/>
      <c r="F39" s="713"/>
      <c r="G39" s="713"/>
      <c r="H39" s="48"/>
      <c r="I39" s="48"/>
    </row>
    <row r="40" spans="1:9" ht="45" hidden="1">
      <c r="A40" s="38" t="s">
        <v>286</v>
      </c>
      <c r="B40" s="685" t="s">
        <v>19</v>
      </c>
      <c r="C40" s="782"/>
      <c r="D40" s="783"/>
      <c r="E40" s="38" t="s">
        <v>424</v>
      </c>
      <c r="F40" s="113" t="s">
        <v>425</v>
      </c>
      <c r="G40" s="38" t="s">
        <v>426</v>
      </c>
      <c r="H40" s="48"/>
      <c r="I40" s="48"/>
    </row>
    <row r="41" spans="1:9" ht="15" hidden="1">
      <c r="A41" s="40">
        <v>1</v>
      </c>
      <c r="B41" s="687">
        <v>2</v>
      </c>
      <c r="C41" s="784"/>
      <c r="D41" s="785"/>
      <c r="E41" s="40">
        <v>4</v>
      </c>
      <c r="F41" s="114">
        <v>5</v>
      </c>
      <c r="G41" s="40">
        <v>6</v>
      </c>
      <c r="H41" s="48"/>
      <c r="I41" s="48"/>
    </row>
    <row r="42" spans="1:9" ht="15" hidden="1">
      <c r="A42" s="49"/>
      <c r="B42" s="687"/>
      <c r="C42" s="784"/>
      <c r="D42" s="785"/>
      <c r="E42" s="49"/>
      <c r="F42" s="114"/>
      <c r="G42" s="49">
        <f>E42*F42</f>
        <v>0</v>
      </c>
      <c r="H42" s="48"/>
      <c r="I42" s="48"/>
    </row>
    <row r="43" spans="1:9" ht="15" hidden="1">
      <c r="A43" s="49"/>
      <c r="B43" s="687"/>
      <c r="C43" s="784"/>
      <c r="D43" s="785"/>
      <c r="E43" s="49"/>
      <c r="F43" s="114"/>
      <c r="G43" s="49">
        <f>E43*F43</f>
        <v>0</v>
      </c>
      <c r="H43" s="48"/>
      <c r="I43" s="48"/>
    </row>
    <row r="44" spans="1:9" ht="15" hidden="1">
      <c r="A44" s="49"/>
      <c r="B44" s="708" t="s">
        <v>327</v>
      </c>
      <c r="C44" s="709"/>
      <c r="D44" s="710"/>
      <c r="E44" s="49"/>
      <c r="F44" s="114"/>
      <c r="G44" s="49"/>
      <c r="H44" s="48"/>
      <c r="I44" s="48"/>
    </row>
    <row r="45" spans="1:9" ht="15">
      <c r="A45" s="52"/>
      <c r="B45" s="120"/>
      <c r="C45" s="120"/>
      <c r="D45" s="120"/>
      <c r="E45" s="52"/>
      <c r="F45" s="121"/>
      <c r="G45" s="122"/>
      <c r="H45" s="48"/>
      <c r="I45" s="48"/>
    </row>
    <row r="46" spans="1:9" ht="14.25">
      <c r="A46" s="786"/>
      <c r="B46" s="638"/>
      <c r="C46" s="638"/>
      <c r="D46" s="638"/>
      <c r="E46" s="638"/>
      <c r="F46" s="638"/>
      <c r="G46" s="638"/>
      <c r="H46" s="48"/>
      <c r="I46" s="48"/>
    </row>
    <row r="47" spans="1:9" ht="15">
      <c r="A47" s="779" t="s">
        <v>539</v>
      </c>
      <c r="B47" s="780"/>
      <c r="C47" s="780"/>
      <c r="D47" s="780"/>
      <c r="E47" s="123"/>
      <c r="F47" s="123"/>
      <c r="G47" s="124"/>
      <c r="H47" s="48"/>
      <c r="I47" s="48"/>
    </row>
    <row r="48" spans="1:9" ht="12.75">
      <c r="A48" s="125"/>
      <c r="B48" s="781"/>
      <c r="C48" s="781"/>
      <c r="D48" s="781"/>
      <c r="E48" s="125"/>
      <c r="F48" s="125"/>
      <c r="G48" s="125"/>
      <c r="H48" s="48"/>
      <c r="I48" s="48"/>
    </row>
    <row r="49" spans="1:9" ht="74.25" customHeight="1">
      <c r="A49" s="38" t="s">
        <v>286</v>
      </c>
      <c r="B49" s="38" t="s">
        <v>19</v>
      </c>
      <c r="C49" s="38" t="s">
        <v>412</v>
      </c>
      <c r="D49" s="38" t="s">
        <v>413</v>
      </c>
      <c r="E49" s="38" t="s">
        <v>414</v>
      </c>
      <c r="F49" s="38" t="s">
        <v>415</v>
      </c>
      <c r="G49" s="38" t="s">
        <v>416</v>
      </c>
      <c r="H49" s="48"/>
      <c r="I49" s="48"/>
    </row>
    <row r="50" spans="1:9" ht="15">
      <c r="A50" s="40">
        <v>1</v>
      </c>
      <c r="B50" s="40">
        <v>2</v>
      </c>
      <c r="C50" s="40">
        <v>3</v>
      </c>
      <c r="D50" s="40">
        <v>4</v>
      </c>
      <c r="E50" s="40">
        <v>5</v>
      </c>
      <c r="F50" s="40">
        <v>6</v>
      </c>
      <c r="G50" s="40">
        <v>7</v>
      </c>
      <c r="H50" s="48"/>
      <c r="I50" s="48"/>
    </row>
    <row r="51" spans="1:9" ht="15">
      <c r="A51" s="40">
        <v>1</v>
      </c>
      <c r="B51" s="115" t="s">
        <v>427</v>
      </c>
      <c r="C51" s="40" t="s">
        <v>428</v>
      </c>
      <c r="D51" s="66">
        <v>5030</v>
      </c>
      <c r="E51" s="66">
        <v>9.259</v>
      </c>
      <c r="F51" s="66"/>
      <c r="G51" s="116">
        <f>D51*E51-2.77</f>
        <v>46570.00000000001</v>
      </c>
      <c r="H51" s="45"/>
      <c r="I51" s="48"/>
    </row>
    <row r="52" spans="1:9" ht="18.75" customHeight="1">
      <c r="A52" s="40">
        <v>2</v>
      </c>
      <c r="B52" s="115" t="s">
        <v>429</v>
      </c>
      <c r="C52" s="40" t="s">
        <v>418</v>
      </c>
      <c r="D52" s="66">
        <f>294.47-106+0.042</f>
        <v>188.51200000000003</v>
      </c>
      <c r="E52" s="66">
        <v>9786.12</v>
      </c>
      <c r="F52" s="66"/>
      <c r="G52" s="116">
        <f>D52*E52-8.06</f>
        <v>1844792.9934400003</v>
      </c>
      <c r="H52" s="45">
        <f>H55-G51-G54</f>
        <v>1844792.993</v>
      </c>
      <c r="I52" s="45">
        <f>H52-G52</f>
        <v>-0.0004400003235787153</v>
      </c>
    </row>
    <row r="53" spans="1:9" ht="12.75" customHeight="1" hidden="1">
      <c r="A53" s="126"/>
      <c r="B53" s="126"/>
      <c r="C53" s="126"/>
      <c r="D53" s="126"/>
      <c r="E53" s="126"/>
      <c r="F53" s="126"/>
      <c r="G53" s="126"/>
      <c r="H53" s="48"/>
      <c r="I53" s="48"/>
    </row>
    <row r="54" spans="1:9" ht="12.75" customHeight="1">
      <c r="A54" s="274">
        <v>3</v>
      </c>
      <c r="B54" s="115" t="s">
        <v>417</v>
      </c>
      <c r="C54" s="40" t="s">
        <v>419</v>
      </c>
      <c r="D54" s="66">
        <v>115.9</v>
      </c>
      <c r="E54" s="66">
        <v>26.83</v>
      </c>
      <c r="F54" s="66"/>
      <c r="G54" s="116">
        <f>D54*E54+0.4</f>
        <v>3109.997</v>
      </c>
      <c r="H54" s="45">
        <f>G51+G52+G54</f>
        <v>1894472.9904400003</v>
      </c>
      <c r="I54" s="48"/>
    </row>
    <row r="55" spans="1:9" ht="12.75" customHeight="1">
      <c r="A55" s="40"/>
      <c r="B55" s="115" t="s">
        <v>314</v>
      </c>
      <c r="C55" s="115"/>
      <c r="D55" s="66"/>
      <c r="E55" s="66"/>
      <c r="F55" s="66"/>
      <c r="G55" s="116">
        <f>G51+G52+G54</f>
        <v>1894472.9904400003</v>
      </c>
      <c r="H55" s="45">
        <v>1894472.99</v>
      </c>
      <c r="I55" s="48"/>
    </row>
    <row r="56" spans="1:9" ht="32.25" customHeight="1">
      <c r="A56" s="117"/>
      <c r="B56" s="118" t="s">
        <v>547</v>
      </c>
      <c r="C56" s="49"/>
      <c r="D56" s="49"/>
      <c r="E56" s="66"/>
      <c r="F56" s="66"/>
      <c r="G56" s="119"/>
      <c r="H56" s="48"/>
      <c r="I56" s="48"/>
    </row>
    <row r="57" spans="1:9" ht="15">
      <c r="A57" s="49"/>
      <c r="B57" s="115" t="s">
        <v>327</v>
      </c>
      <c r="C57" s="50"/>
      <c r="D57" s="66"/>
      <c r="E57" s="66"/>
      <c r="F57" s="66"/>
      <c r="G57" s="66">
        <f>G55+G56</f>
        <v>1894472.9904400003</v>
      </c>
      <c r="H57" s="48"/>
      <c r="I57" s="48"/>
    </row>
    <row r="58" spans="1:9" ht="12.75" customHeight="1" hidden="1">
      <c r="A58" s="126"/>
      <c r="B58" s="126"/>
      <c r="C58" s="126"/>
      <c r="D58" s="126"/>
      <c r="E58" s="126"/>
      <c r="F58" s="126"/>
      <c r="G58" s="126"/>
      <c r="H58" s="48"/>
      <c r="I58" s="48"/>
    </row>
    <row r="59" spans="1:9" ht="12.75">
      <c r="A59" s="126"/>
      <c r="B59" s="126"/>
      <c r="C59" s="126"/>
      <c r="D59" s="126"/>
      <c r="E59" s="126"/>
      <c r="F59" s="126"/>
      <c r="G59" s="273">
        <f>G37+G57</f>
        <v>1929202.9915600002</v>
      </c>
      <c r="H59" s="48"/>
      <c r="I59" s="48"/>
    </row>
    <row r="60" spans="1:9" ht="12.75" customHeight="1" hidden="1">
      <c r="A60" s="126"/>
      <c r="B60" s="126"/>
      <c r="C60" s="126"/>
      <c r="D60" s="126"/>
      <c r="E60" s="126"/>
      <c r="F60" s="126"/>
      <c r="G60" s="126"/>
      <c r="H60" s="48"/>
      <c r="I60" s="48"/>
    </row>
    <row r="61" spans="1:9" ht="43.5" customHeight="1">
      <c r="A61" s="126"/>
      <c r="B61" s="126"/>
      <c r="C61" s="126"/>
      <c r="D61" s="126"/>
      <c r="E61" s="126"/>
      <c r="F61" s="126"/>
      <c r="G61" s="265">
        <f>G37+'244 МЗ (2)'!G31+'244 МЗ (2)'!G50+'244 ИЦ'!H26+'244 ИЦ'!H31+'244 ИЦ'!H52</f>
        <v>1626803.10112</v>
      </c>
      <c r="H61" s="48"/>
      <c r="I61" s="48"/>
    </row>
    <row r="62" ht="12.75">
      <c r="G62" s="48"/>
    </row>
  </sheetData>
  <sheetProtection/>
  <mergeCells count="32">
    <mergeCell ref="A1:G1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9:G19"/>
    <mergeCell ref="B20:D20"/>
    <mergeCell ref="B21:D21"/>
    <mergeCell ref="B22:D22"/>
    <mergeCell ref="B23:D23"/>
    <mergeCell ref="B24:D24"/>
    <mergeCell ref="A25:G25"/>
    <mergeCell ref="A39:G39"/>
    <mergeCell ref="A47:D47"/>
    <mergeCell ref="B48:D48"/>
    <mergeCell ref="B40:D40"/>
    <mergeCell ref="B41:D41"/>
    <mergeCell ref="B42:D42"/>
    <mergeCell ref="B43:D43"/>
    <mergeCell ref="B44:D44"/>
    <mergeCell ref="A46:G4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85" zoomScaleSheetLayoutView="85" zoomScalePageLayoutView="0" workbookViewId="0" topLeftCell="A16">
      <selection activeCell="H16" sqref="H1:H16384"/>
    </sheetView>
  </sheetViews>
  <sheetFormatPr defaultColWidth="9.33203125" defaultRowHeight="12.75"/>
  <cols>
    <col min="1" max="1" width="9.33203125" style="35" customWidth="1"/>
    <col min="2" max="2" width="44.5" style="35" customWidth="1"/>
    <col min="3" max="3" width="14.5" style="35" customWidth="1"/>
    <col min="4" max="5" width="9.33203125" style="35" hidden="1" customWidth="1"/>
    <col min="6" max="6" width="21.83203125" style="35" customWidth="1"/>
    <col min="7" max="7" width="17.33203125" style="35" customWidth="1"/>
    <col min="8" max="8" width="17.83203125" style="35" customWidth="1"/>
    <col min="9" max="16384" width="9.33203125" style="35" customWidth="1"/>
  </cols>
  <sheetData>
    <row r="1" spans="1:7" ht="32.25" customHeight="1">
      <c r="A1" s="711" t="s">
        <v>430</v>
      </c>
      <c r="B1" s="711"/>
      <c r="C1" s="711"/>
      <c r="D1" s="711"/>
      <c r="E1" s="711"/>
      <c r="F1" s="711"/>
      <c r="G1" s="777"/>
    </row>
    <row r="2" spans="1:6" ht="15">
      <c r="A2" s="104" t="s">
        <v>396</v>
      </c>
      <c r="B2" s="104"/>
      <c r="C2" s="104"/>
      <c r="D2" s="68"/>
      <c r="E2" s="68"/>
      <c r="F2" s="68"/>
    </row>
    <row r="3" ht="12.75" hidden="1"/>
    <row r="4" spans="1:7" ht="14.25" hidden="1">
      <c r="A4" s="713" t="s">
        <v>423</v>
      </c>
      <c r="B4" s="713"/>
      <c r="C4" s="713"/>
      <c r="D4" s="713"/>
      <c r="E4" s="713"/>
      <c r="F4" s="713"/>
      <c r="G4" s="713"/>
    </row>
    <row r="5" spans="1:7" ht="45" hidden="1">
      <c r="A5" s="38" t="s">
        <v>286</v>
      </c>
      <c r="B5" s="685" t="s">
        <v>19</v>
      </c>
      <c r="C5" s="782"/>
      <c r="D5" s="783"/>
      <c r="E5" s="38" t="s">
        <v>424</v>
      </c>
      <c r="F5" s="113" t="s">
        <v>425</v>
      </c>
      <c r="G5" s="38" t="s">
        <v>426</v>
      </c>
    </row>
    <row r="6" spans="1:7" ht="15" hidden="1">
      <c r="A6" s="40">
        <v>1</v>
      </c>
      <c r="B6" s="687">
        <v>2</v>
      </c>
      <c r="C6" s="784"/>
      <c r="D6" s="785"/>
      <c r="E6" s="40">
        <v>4</v>
      </c>
      <c r="F6" s="114">
        <v>5</v>
      </c>
      <c r="G6" s="40">
        <v>6</v>
      </c>
    </row>
    <row r="7" spans="1:7" ht="15" hidden="1">
      <c r="A7" s="49"/>
      <c r="B7" s="687"/>
      <c r="C7" s="784"/>
      <c r="D7" s="785"/>
      <c r="E7" s="49"/>
      <c r="F7" s="114"/>
      <c r="G7" s="49">
        <f>E7*F7</f>
        <v>0</v>
      </c>
    </row>
    <row r="8" spans="1:7" ht="15" hidden="1">
      <c r="A8" s="49"/>
      <c r="B8" s="687"/>
      <c r="C8" s="784"/>
      <c r="D8" s="785"/>
      <c r="E8" s="49"/>
      <c r="F8" s="114"/>
      <c r="G8" s="49">
        <f>E8*F8</f>
        <v>0</v>
      </c>
    </row>
    <row r="9" spans="1:7" ht="15" hidden="1">
      <c r="A9" s="49"/>
      <c r="B9" s="708" t="s">
        <v>327</v>
      </c>
      <c r="C9" s="709"/>
      <c r="D9" s="710"/>
      <c r="E9" s="49"/>
      <c r="F9" s="114"/>
      <c r="G9" s="49"/>
    </row>
    <row r="10" spans="1:7" ht="15">
      <c r="A10" s="52"/>
      <c r="B10" s="120"/>
      <c r="C10" s="120"/>
      <c r="D10" s="120"/>
      <c r="E10" s="52"/>
      <c r="F10" s="121"/>
      <c r="G10" s="52"/>
    </row>
    <row r="11" spans="1:7" ht="14.25">
      <c r="A11" s="713" t="s">
        <v>431</v>
      </c>
      <c r="B11" s="713"/>
      <c r="C11" s="713"/>
      <c r="D11" s="713"/>
      <c r="E11" s="713"/>
      <c r="F11" s="713"/>
      <c r="G11" s="713"/>
    </row>
    <row r="12" spans="1:7" ht="45">
      <c r="A12" s="38" t="s">
        <v>286</v>
      </c>
      <c r="B12" s="685" t="s">
        <v>321</v>
      </c>
      <c r="C12" s="782"/>
      <c r="D12" s="783"/>
      <c r="E12" s="38" t="s">
        <v>432</v>
      </c>
      <c r="F12" s="38" t="s">
        <v>433</v>
      </c>
      <c r="G12" s="38" t="s">
        <v>434</v>
      </c>
    </row>
    <row r="13" spans="1:8" ht="12.75">
      <c r="A13" s="112">
        <v>1</v>
      </c>
      <c r="B13" s="802">
        <v>2</v>
      </c>
      <c r="C13" s="803"/>
      <c r="D13" s="804"/>
      <c r="E13" s="112">
        <v>3</v>
      </c>
      <c r="F13" s="112">
        <v>4</v>
      </c>
      <c r="G13" s="112">
        <v>5</v>
      </c>
      <c r="H13" s="48"/>
    </row>
    <row r="14" spans="1:8" ht="15">
      <c r="A14" s="43">
        <v>1</v>
      </c>
      <c r="B14" s="772" t="s">
        <v>435</v>
      </c>
      <c r="C14" s="793"/>
      <c r="D14" s="707"/>
      <c r="E14" s="805"/>
      <c r="F14" s="40">
        <v>3</v>
      </c>
      <c r="G14" s="66">
        <v>2500</v>
      </c>
      <c r="H14" s="48">
        <v>2500</v>
      </c>
    </row>
    <row r="15" spans="1:8" ht="30" customHeight="1">
      <c r="A15" s="43">
        <v>2</v>
      </c>
      <c r="B15" s="772" t="s">
        <v>436</v>
      </c>
      <c r="C15" s="793"/>
      <c r="D15" s="707"/>
      <c r="E15" s="805"/>
      <c r="F15" s="40">
        <v>3</v>
      </c>
      <c r="G15" s="137">
        <v>0</v>
      </c>
      <c r="H15" s="48"/>
    </row>
    <row r="16" spans="1:8" ht="29.25" customHeight="1">
      <c r="A16" s="43">
        <v>3</v>
      </c>
      <c r="B16" s="772" t="s">
        <v>437</v>
      </c>
      <c r="C16" s="793"/>
      <c r="D16" s="707"/>
      <c r="E16" s="805"/>
      <c r="F16" s="40">
        <v>1</v>
      </c>
      <c r="G16" s="66">
        <v>119317</v>
      </c>
      <c r="H16" s="285">
        <f>155159.76/2</f>
        <v>77579.88</v>
      </c>
    </row>
    <row r="17" spans="1:8" ht="15">
      <c r="A17" s="43">
        <v>4</v>
      </c>
      <c r="B17" s="138" t="s">
        <v>534</v>
      </c>
      <c r="C17" s="139"/>
      <c r="D17" s="140"/>
      <c r="E17" s="805"/>
      <c r="F17" s="40">
        <v>1</v>
      </c>
      <c r="G17" s="66">
        <v>0</v>
      </c>
      <c r="H17" s="48"/>
    </row>
    <row r="18" spans="1:8" ht="32.25" customHeight="1">
      <c r="A18" s="43">
        <v>5</v>
      </c>
      <c r="B18" s="772" t="s">
        <v>438</v>
      </c>
      <c r="C18" s="793"/>
      <c r="D18" s="707"/>
      <c r="E18" s="805"/>
      <c r="F18" s="40">
        <v>1</v>
      </c>
      <c r="G18" s="66">
        <v>57600</v>
      </c>
      <c r="H18" s="285">
        <f>88244/4*3</f>
        <v>66183</v>
      </c>
    </row>
    <row r="19" spans="1:8" ht="15">
      <c r="A19" s="43">
        <v>6</v>
      </c>
      <c r="B19" s="772" t="s">
        <v>439</v>
      </c>
      <c r="C19" s="793"/>
      <c r="D19" s="707"/>
      <c r="E19" s="805"/>
      <c r="F19" s="40">
        <v>1</v>
      </c>
      <c r="G19" s="66">
        <v>41974</v>
      </c>
      <c r="H19" s="285">
        <f>G19/2</f>
        <v>20987</v>
      </c>
    </row>
    <row r="20" spans="1:8" ht="15">
      <c r="A20" s="43">
        <v>7</v>
      </c>
      <c r="B20" s="799" t="s">
        <v>440</v>
      </c>
      <c r="C20" s="800"/>
      <c r="D20" s="801"/>
      <c r="E20" s="805"/>
      <c r="F20" s="40">
        <v>1</v>
      </c>
      <c r="G20" s="66">
        <f>7989*3</f>
        <v>23967</v>
      </c>
      <c r="H20" s="48">
        <v>38408.96</v>
      </c>
    </row>
    <row r="21" spans="1:8" ht="15" customHeight="1">
      <c r="A21" s="43">
        <v>8</v>
      </c>
      <c r="B21" s="772" t="s">
        <v>457</v>
      </c>
      <c r="C21" s="793"/>
      <c r="D21" s="707"/>
      <c r="E21" s="805"/>
      <c r="F21" s="43">
        <v>1</v>
      </c>
      <c r="G21" s="66">
        <f>4762*3</f>
        <v>14286</v>
      </c>
      <c r="H21" s="48">
        <f>20800</f>
        <v>20800</v>
      </c>
    </row>
    <row r="22" spans="1:8" ht="34.5" customHeight="1">
      <c r="A22" s="43">
        <v>9</v>
      </c>
      <c r="B22" s="772" t="s">
        <v>441</v>
      </c>
      <c r="C22" s="793"/>
      <c r="D22" s="792"/>
      <c r="E22" s="805"/>
      <c r="F22" s="40">
        <v>1</v>
      </c>
      <c r="G22" s="66">
        <f>2293*11</f>
        <v>25223</v>
      </c>
      <c r="H22" s="48">
        <v>30000</v>
      </c>
    </row>
    <row r="23" spans="1:8" ht="17.25" customHeight="1">
      <c r="A23" s="43">
        <v>10</v>
      </c>
      <c r="B23" s="772" t="s">
        <v>442</v>
      </c>
      <c r="C23" s="793"/>
      <c r="D23" s="707"/>
      <c r="E23" s="805"/>
      <c r="F23" s="40">
        <v>1</v>
      </c>
      <c r="G23" s="66">
        <v>12000</v>
      </c>
      <c r="H23" s="48">
        <f>12000-1711.84</f>
        <v>10288.16</v>
      </c>
    </row>
    <row r="24" spans="1:8" ht="15">
      <c r="A24" s="43">
        <v>11</v>
      </c>
      <c r="B24" s="772" t="s">
        <v>443</v>
      </c>
      <c r="C24" s="706"/>
      <c r="D24" s="707"/>
      <c r="E24" s="805"/>
      <c r="F24" s="40">
        <v>1</v>
      </c>
      <c r="G24" s="66">
        <v>15328.32</v>
      </c>
      <c r="H24" s="48">
        <v>15328.32</v>
      </c>
    </row>
    <row r="25" spans="1:8" ht="31.5" customHeight="1">
      <c r="A25" s="43">
        <v>12</v>
      </c>
      <c r="B25" s="772" t="s">
        <v>444</v>
      </c>
      <c r="C25" s="706"/>
      <c r="D25" s="707"/>
      <c r="E25" s="805"/>
      <c r="F25" s="40">
        <v>1</v>
      </c>
      <c r="G25" s="66">
        <v>84480</v>
      </c>
      <c r="H25" s="48">
        <v>84600</v>
      </c>
    </row>
    <row r="26" spans="1:8" ht="17.25" customHeight="1" hidden="1">
      <c r="A26" s="43">
        <v>13</v>
      </c>
      <c r="B26" s="141" t="s">
        <v>533</v>
      </c>
      <c r="C26" s="142"/>
      <c r="D26" s="143"/>
      <c r="E26" s="806"/>
      <c r="F26" s="40">
        <v>2</v>
      </c>
      <c r="G26" s="66">
        <v>0</v>
      </c>
      <c r="H26" s="48"/>
    </row>
    <row r="27" spans="1:8" ht="17.25" customHeight="1" hidden="1">
      <c r="A27" s="43">
        <v>10</v>
      </c>
      <c r="B27" s="772" t="s">
        <v>515</v>
      </c>
      <c r="C27" s="706"/>
      <c r="D27" s="143"/>
      <c r="E27" s="144"/>
      <c r="F27" s="40">
        <v>1</v>
      </c>
      <c r="G27" s="66"/>
      <c r="H27" s="48"/>
    </row>
    <row r="28" spans="1:8" ht="17.25" customHeight="1">
      <c r="A28" s="43">
        <v>13</v>
      </c>
      <c r="B28" s="245" t="s">
        <v>548</v>
      </c>
      <c r="C28" s="74"/>
      <c r="D28" s="246"/>
      <c r="E28" s="144"/>
      <c r="F28" s="242"/>
      <c r="G28" s="66">
        <v>0</v>
      </c>
      <c r="H28" s="45">
        <v>30000</v>
      </c>
    </row>
    <row r="29" spans="1:8" ht="15">
      <c r="A29" s="43"/>
      <c r="B29" s="772" t="s">
        <v>314</v>
      </c>
      <c r="C29" s="793"/>
      <c r="D29" s="792"/>
      <c r="E29" s="145"/>
      <c r="F29" s="51"/>
      <c r="G29" s="66">
        <f>SUM(G14:G28)</f>
        <v>396675.32</v>
      </c>
      <c r="H29" s="48">
        <f>SUM(H14:H28)</f>
        <v>396675.32</v>
      </c>
    </row>
    <row r="30" spans="1:8" ht="15">
      <c r="A30" s="43"/>
      <c r="B30" s="772" t="s">
        <v>547</v>
      </c>
      <c r="C30" s="793"/>
      <c r="D30" s="707"/>
      <c r="E30" s="146"/>
      <c r="F30" s="51"/>
      <c r="G30" s="66"/>
      <c r="H30" s="45">
        <f>G29-H29</f>
        <v>0</v>
      </c>
    </row>
    <row r="31" spans="1:8" ht="15">
      <c r="A31" s="49"/>
      <c r="B31" s="788" t="s">
        <v>327</v>
      </c>
      <c r="C31" s="798"/>
      <c r="D31" s="789"/>
      <c r="E31" s="40" t="s">
        <v>34</v>
      </c>
      <c r="F31" s="40" t="s">
        <v>34</v>
      </c>
      <c r="G31" s="66">
        <f>G29+G30</f>
        <v>396675.32</v>
      </c>
      <c r="H31" s="48"/>
    </row>
    <row r="32" spans="4:8" ht="12.75">
      <c r="D32" s="147"/>
      <c r="H32" s="47">
        <f>H31-G31</f>
        <v>-396675.32</v>
      </c>
    </row>
    <row r="33" spans="1:8" ht="14.25">
      <c r="A33" s="713" t="s">
        <v>445</v>
      </c>
      <c r="B33" s="713"/>
      <c r="C33" s="713"/>
      <c r="D33" s="713"/>
      <c r="E33" s="713"/>
      <c r="F33" s="713"/>
      <c r="G33" s="713"/>
      <c r="H33" s="41"/>
    </row>
    <row r="34" spans="1:8" ht="45">
      <c r="A34" s="38" t="s">
        <v>286</v>
      </c>
      <c r="B34" s="685" t="s">
        <v>321</v>
      </c>
      <c r="C34" s="782"/>
      <c r="D34" s="782"/>
      <c r="E34" s="783"/>
      <c r="F34" s="38" t="s">
        <v>446</v>
      </c>
      <c r="G34" s="38" t="s">
        <v>434</v>
      </c>
      <c r="H34" s="41"/>
    </row>
    <row r="35" spans="1:8" ht="15">
      <c r="A35" s="40">
        <v>1</v>
      </c>
      <c r="B35" s="687">
        <v>2</v>
      </c>
      <c r="C35" s="784"/>
      <c r="D35" s="784"/>
      <c r="E35" s="785"/>
      <c r="F35" s="40">
        <v>3</v>
      </c>
      <c r="G35" s="40">
        <v>4</v>
      </c>
      <c r="H35" s="284"/>
    </row>
    <row r="36" spans="1:8" ht="29.25" customHeight="1">
      <c r="A36" s="40">
        <v>1</v>
      </c>
      <c r="B36" s="772" t="s">
        <v>447</v>
      </c>
      <c r="C36" s="793"/>
      <c r="D36" s="706"/>
      <c r="E36" s="707"/>
      <c r="F36" s="40">
        <v>1</v>
      </c>
      <c r="G36" s="66">
        <f>(18083+6259)*1.1+3.8</f>
        <v>26780</v>
      </c>
      <c r="H36" s="47"/>
    </row>
    <row r="37" spans="1:8" ht="15">
      <c r="A37" s="40">
        <v>2</v>
      </c>
      <c r="B37" s="772" t="s">
        <v>448</v>
      </c>
      <c r="C37" s="793"/>
      <c r="D37" s="706"/>
      <c r="E37" s="707"/>
      <c r="F37" s="40">
        <v>1</v>
      </c>
      <c r="G37" s="66">
        <v>5500</v>
      </c>
      <c r="H37" s="41"/>
    </row>
    <row r="38" spans="1:8" ht="15">
      <c r="A38" s="40">
        <v>3</v>
      </c>
      <c r="B38" s="772" t="s">
        <v>535</v>
      </c>
      <c r="C38" s="793"/>
      <c r="D38" s="706"/>
      <c r="E38" s="707"/>
      <c r="F38" s="40"/>
      <c r="G38" s="66">
        <v>88491</v>
      </c>
      <c r="H38" s="41"/>
    </row>
    <row r="39" spans="1:8" ht="15">
      <c r="A39" s="40">
        <v>4</v>
      </c>
      <c r="B39" s="772" t="s">
        <v>449</v>
      </c>
      <c r="C39" s="793"/>
      <c r="D39" s="706"/>
      <c r="E39" s="707"/>
      <c r="F39" s="40">
        <v>1</v>
      </c>
      <c r="G39" s="66">
        <v>193073</v>
      </c>
      <c r="H39" s="41"/>
    </row>
    <row r="40" spans="1:8" ht="15">
      <c r="A40" s="40">
        <v>5</v>
      </c>
      <c r="B40" s="772" t="s">
        <v>450</v>
      </c>
      <c r="C40" s="793"/>
      <c r="D40" s="706"/>
      <c r="E40" s="707"/>
      <c r="F40" s="40">
        <v>1</v>
      </c>
      <c r="G40" s="66">
        <v>16738</v>
      </c>
      <c r="H40" s="41"/>
    </row>
    <row r="41" spans="1:8" ht="15">
      <c r="A41" s="40">
        <v>6</v>
      </c>
      <c r="B41" s="772" t="s">
        <v>451</v>
      </c>
      <c r="C41" s="793"/>
      <c r="D41" s="706"/>
      <c r="E41" s="707"/>
      <c r="F41" s="40">
        <v>1</v>
      </c>
      <c r="G41" s="66">
        <f>80435-36898.36</f>
        <v>43536.64</v>
      </c>
      <c r="H41" s="41"/>
    </row>
    <row r="42" spans="1:8" ht="15">
      <c r="A42" s="40">
        <v>7</v>
      </c>
      <c r="B42" s="772" t="s">
        <v>452</v>
      </c>
      <c r="C42" s="793"/>
      <c r="D42" s="706"/>
      <c r="E42" s="707"/>
      <c r="F42" s="40">
        <v>1</v>
      </c>
      <c r="G42" s="66">
        <f>181590/2</f>
        <v>90795</v>
      </c>
      <c r="H42" s="41"/>
    </row>
    <row r="43" spans="1:8" ht="15">
      <c r="A43" s="40">
        <v>8</v>
      </c>
      <c r="B43" s="138" t="s">
        <v>453</v>
      </c>
      <c r="C43" s="139"/>
      <c r="D43" s="148"/>
      <c r="E43" s="140"/>
      <c r="F43" s="40">
        <v>1</v>
      </c>
      <c r="G43" s="66">
        <v>8000</v>
      </c>
      <c r="H43" s="41"/>
    </row>
    <row r="44" spans="1:8" ht="15">
      <c r="A44" s="40">
        <v>9</v>
      </c>
      <c r="B44" s="772" t="s">
        <v>454</v>
      </c>
      <c r="C44" s="793"/>
      <c r="D44" s="706"/>
      <c r="E44" s="707"/>
      <c r="F44" s="40">
        <v>1</v>
      </c>
      <c r="G44" s="66">
        <v>1200</v>
      </c>
      <c r="H44" s="41"/>
    </row>
    <row r="45" spans="1:8" ht="15">
      <c r="A45" s="40">
        <v>10</v>
      </c>
      <c r="B45" s="772" t="s">
        <v>522</v>
      </c>
      <c r="C45" s="793"/>
      <c r="D45" s="706"/>
      <c r="E45" s="707"/>
      <c r="F45" s="40">
        <v>1</v>
      </c>
      <c r="G45" s="66">
        <v>0</v>
      </c>
      <c r="H45" s="41"/>
    </row>
    <row r="46" spans="1:8" ht="15">
      <c r="A46" s="40">
        <v>11</v>
      </c>
      <c r="B46" s="772" t="s">
        <v>455</v>
      </c>
      <c r="C46" s="706"/>
      <c r="D46" s="706"/>
      <c r="E46" s="707"/>
      <c r="F46" s="40">
        <v>1</v>
      </c>
      <c r="G46" s="66">
        <v>0</v>
      </c>
      <c r="H46" s="41"/>
    </row>
    <row r="47" spans="1:8" ht="18" customHeight="1">
      <c r="A47" s="40">
        <v>12</v>
      </c>
      <c r="B47" s="141" t="s">
        <v>456</v>
      </c>
      <c r="C47" s="142"/>
      <c r="D47" s="74"/>
      <c r="E47" s="75"/>
      <c r="F47" s="40">
        <v>1</v>
      </c>
      <c r="G47" s="66">
        <v>0</v>
      </c>
      <c r="H47" s="47">
        <v>505000</v>
      </c>
    </row>
    <row r="48" spans="1:8" ht="18" customHeight="1">
      <c r="A48" s="277"/>
      <c r="B48" s="278"/>
      <c r="C48" s="279" t="s">
        <v>293</v>
      </c>
      <c r="D48" s="74"/>
      <c r="E48" s="75"/>
      <c r="F48" s="277"/>
      <c r="G48" s="66">
        <f>SUM(G36:G47)</f>
        <v>474113.64</v>
      </c>
      <c r="H48" s="47">
        <f>G50-H47</f>
        <v>-30886.359999999986</v>
      </c>
    </row>
    <row r="49" spans="1:8" ht="18" customHeight="1">
      <c r="A49" s="277"/>
      <c r="B49" s="772" t="s">
        <v>547</v>
      </c>
      <c r="C49" s="793"/>
      <c r="D49" s="707"/>
      <c r="E49" s="75"/>
      <c r="F49" s="277"/>
      <c r="G49" s="66"/>
      <c r="H49" s="47"/>
    </row>
    <row r="50" spans="1:8" ht="15">
      <c r="A50" s="40"/>
      <c r="B50" s="794" t="s">
        <v>314</v>
      </c>
      <c r="C50" s="795"/>
      <c r="D50" s="796"/>
      <c r="E50" s="797"/>
      <c r="F50" s="40"/>
      <c r="G50" s="66">
        <f>G48+G49</f>
        <v>474113.64</v>
      </c>
      <c r="H50" s="47"/>
    </row>
    <row r="51" ht="12.75">
      <c r="H51" s="47">
        <f>H50-G50</f>
        <v>-474113.64</v>
      </c>
    </row>
    <row r="52" spans="7:8" ht="12.75">
      <c r="G52" s="203">
        <f>767365-25618</f>
        <v>741747</v>
      </c>
      <c r="H52" s="41"/>
    </row>
    <row r="53" spans="7:8" ht="12.75">
      <c r="G53" s="47">
        <f>G50-G52</f>
        <v>-267633.36</v>
      </c>
      <c r="H53" s="41"/>
    </row>
    <row r="54" spans="7:8" ht="12.75">
      <c r="G54" s="41"/>
      <c r="H54" s="41"/>
    </row>
    <row r="55" ht="12.75">
      <c r="G55" s="41"/>
    </row>
  </sheetData>
  <sheetProtection/>
  <mergeCells count="41">
    <mergeCell ref="A1:G1"/>
    <mergeCell ref="A4:G4"/>
    <mergeCell ref="B5:D5"/>
    <mergeCell ref="B6:D6"/>
    <mergeCell ref="B7:D7"/>
    <mergeCell ref="B8:D8"/>
    <mergeCell ref="B9:D9"/>
    <mergeCell ref="A11:G11"/>
    <mergeCell ref="B12:D12"/>
    <mergeCell ref="B13:D13"/>
    <mergeCell ref="B14:D14"/>
    <mergeCell ref="E14:E26"/>
    <mergeCell ref="B15:D15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7:C27"/>
    <mergeCell ref="B29:D29"/>
    <mergeCell ref="B30:D30"/>
    <mergeCell ref="B31:D31"/>
    <mergeCell ref="A33:G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4:E44"/>
    <mergeCell ref="B45:E45"/>
    <mergeCell ref="B46:E46"/>
    <mergeCell ref="B50:E50"/>
    <mergeCell ref="B49:D49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F16" sqref="F16"/>
    </sheetView>
  </sheetViews>
  <sheetFormatPr defaultColWidth="9.33203125" defaultRowHeight="12.75"/>
  <cols>
    <col min="1" max="1" width="9.33203125" style="35" customWidth="1"/>
    <col min="2" max="2" width="27.5" style="35" customWidth="1"/>
    <col min="3" max="3" width="24.16015625" style="35" customWidth="1"/>
    <col min="4" max="4" width="9.33203125" style="35" customWidth="1"/>
    <col min="5" max="5" width="15" style="35" customWidth="1"/>
    <col min="6" max="6" width="23.5" style="35" customWidth="1"/>
    <col min="7" max="7" width="15.16015625" style="35" customWidth="1"/>
    <col min="8" max="8" width="11.66015625" style="35" bestFit="1" customWidth="1"/>
    <col min="9" max="16384" width="9.33203125" style="35" customWidth="1"/>
  </cols>
  <sheetData>
    <row r="2" spans="1:7" ht="14.25">
      <c r="A2" s="711" t="s">
        <v>430</v>
      </c>
      <c r="B2" s="711"/>
      <c r="C2" s="711"/>
      <c r="D2" s="711"/>
      <c r="E2" s="711"/>
      <c r="F2" s="711"/>
      <c r="G2" s="777"/>
    </row>
    <row r="3" spans="1:2" ht="14.25">
      <c r="A3" s="104" t="s">
        <v>396</v>
      </c>
      <c r="B3" s="104"/>
    </row>
    <row r="5" spans="1:6" ht="14.25">
      <c r="A5" s="638" t="s">
        <v>458</v>
      </c>
      <c r="B5" s="638"/>
      <c r="C5" s="638"/>
      <c r="D5" s="638"/>
      <c r="E5" s="638"/>
      <c r="F5" s="638"/>
    </row>
    <row r="6" spans="1:6" ht="45">
      <c r="A6" s="38" t="s">
        <v>286</v>
      </c>
      <c r="B6" s="685" t="s">
        <v>321</v>
      </c>
      <c r="C6" s="783"/>
      <c r="D6" s="38" t="s">
        <v>424</v>
      </c>
      <c r="E6" s="38" t="s">
        <v>459</v>
      </c>
      <c r="F6" s="38" t="s">
        <v>460</v>
      </c>
    </row>
    <row r="7" spans="1:6" ht="15">
      <c r="A7" s="40"/>
      <c r="B7" s="687">
        <v>1</v>
      </c>
      <c r="C7" s="785"/>
      <c r="D7" s="40">
        <v>2</v>
      </c>
      <c r="E7" s="40">
        <v>3</v>
      </c>
      <c r="F7" s="40">
        <v>4</v>
      </c>
    </row>
    <row r="8" spans="1:6" ht="15">
      <c r="A8" s="40">
        <v>1</v>
      </c>
      <c r="B8" s="138" t="s">
        <v>461</v>
      </c>
      <c r="C8" s="140"/>
      <c r="D8" s="40">
        <v>0</v>
      </c>
      <c r="E8" s="40">
        <v>450</v>
      </c>
      <c r="F8" s="44">
        <f>D8*E8</f>
        <v>0</v>
      </c>
    </row>
    <row r="9" spans="1:6" ht="15">
      <c r="A9" s="40">
        <v>2</v>
      </c>
      <c r="B9" s="138" t="s">
        <v>462</v>
      </c>
      <c r="C9" s="140"/>
      <c r="D9" s="40">
        <v>0</v>
      </c>
      <c r="E9" s="40">
        <f>650-24.5</f>
        <v>625.5</v>
      </c>
      <c r="F9" s="44">
        <f>D9*E9</f>
        <v>0</v>
      </c>
    </row>
    <row r="10" spans="1:6" ht="15">
      <c r="A10" s="40">
        <v>3</v>
      </c>
      <c r="B10" s="138" t="s">
        <v>463</v>
      </c>
      <c r="C10" s="140"/>
      <c r="D10" s="40">
        <v>0</v>
      </c>
      <c r="E10" s="40">
        <v>0</v>
      </c>
      <c r="F10" s="44">
        <f>D10*E10</f>
        <v>0</v>
      </c>
    </row>
    <row r="11" spans="1:6" ht="15">
      <c r="A11" s="40">
        <v>4</v>
      </c>
      <c r="B11" s="138" t="s">
        <v>464</v>
      </c>
      <c r="C11" s="140"/>
      <c r="D11" s="40">
        <v>0</v>
      </c>
      <c r="E11" s="40">
        <v>3500</v>
      </c>
      <c r="F11" s="44">
        <f>D11*E11</f>
        <v>0</v>
      </c>
    </row>
    <row r="12" spans="1:7" ht="15" hidden="1">
      <c r="A12" s="40"/>
      <c r="B12" s="138" t="s">
        <v>465</v>
      </c>
      <c r="C12" s="140"/>
      <c r="D12" s="40"/>
      <c r="E12" s="40">
        <v>0</v>
      </c>
      <c r="F12" s="44">
        <f>D12*E12</f>
        <v>0</v>
      </c>
      <c r="G12" s="98"/>
    </row>
    <row r="13" spans="1:6" ht="15" hidden="1">
      <c r="A13" s="40"/>
      <c r="B13" s="138"/>
      <c r="C13" s="140"/>
      <c r="D13" s="40"/>
      <c r="E13" s="40"/>
      <c r="F13" s="44"/>
    </row>
    <row r="14" spans="1:6" ht="15">
      <c r="A14" s="40">
        <v>5</v>
      </c>
      <c r="B14" s="138" t="s">
        <v>466</v>
      </c>
      <c r="C14" s="140"/>
      <c r="D14" s="40">
        <v>0</v>
      </c>
      <c r="E14" s="40">
        <v>188.1</v>
      </c>
      <c r="F14" s="44">
        <f>D14*E14</f>
        <v>0</v>
      </c>
    </row>
    <row r="15" spans="1:8" ht="15">
      <c r="A15" s="49"/>
      <c r="B15" s="708" t="s">
        <v>327</v>
      </c>
      <c r="C15" s="710"/>
      <c r="D15" s="49"/>
      <c r="E15" s="40" t="s">
        <v>34</v>
      </c>
      <c r="F15" s="44">
        <f>F8+F9+F10+F11+F12+F13+F14</f>
        <v>0</v>
      </c>
      <c r="H15" s="98"/>
    </row>
    <row r="16" spans="1:6" ht="15">
      <c r="A16" s="56"/>
      <c r="B16" s="69"/>
      <c r="C16" s="69"/>
      <c r="D16" s="56"/>
      <c r="E16" s="127"/>
      <c r="F16" s="149"/>
    </row>
    <row r="17" spans="1:6" ht="14.25">
      <c r="A17" s="810">
        <f>F15+'[1]244 МЗ (2)'!G47+'[1]244 МЗ (2)'!G30+'[1]244,247 МЗ'!G37+'[1]244,247 МЗ'!G17</f>
        <v>1141908.16</v>
      </c>
      <c r="B17" s="811"/>
      <c r="C17" s="811"/>
      <c r="D17" s="811"/>
      <c r="E17" s="811"/>
      <c r="F17" s="811"/>
    </row>
    <row r="18" spans="1:7" ht="15">
      <c r="A18" s="216"/>
      <c r="B18" s="807"/>
      <c r="C18" s="807"/>
      <c r="D18" s="216"/>
      <c r="E18" s="216"/>
      <c r="F18" s="124"/>
      <c r="G18" s="61"/>
    </row>
    <row r="19" spans="1:7" ht="24" customHeight="1">
      <c r="A19" s="214"/>
      <c r="B19" s="129"/>
      <c r="C19" s="130"/>
      <c r="D19" s="132"/>
      <c r="E19" s="150"/>
      <c r="F19" s="257"/>
      <c r="G19" s="151"/>
    </row>
    <row r="20" spans="1:7" ht="25.5" customHeight="1">
      <c r="A20" s="56"/>
      <c r="B20" s="215"/>
      <c r="C20" s="215"/>
      <c r="D20" s="133"/>
      <c r="E20" s="215"/>
      <c r="F20" s="257"/>
      <c r="G20" s="215"/>
    </row>
    <row r="21" spans="1:7" ht="18.75">
      <c r="A21" s="61"/>
      <c r="B21" s="134"/>
      <c r="C21" s="130"/>
      <c r="D21" s="215"/>
      <c r="E21" s="133"/>
      <c r="F21" s="133"/>
      <c r="G21" s="133"/>
    </row>
    <row r="22" spans="1:7" ht="21" customHeight="1">
      <c r="A22" s="61"/>
      <c r="B22" s="134"/>
      <c r="C22" s="130"/>
      <c r="D22" s="130"/>
      <c r="E22" s="215"/>
      <c r="F22" s="215"/>
      <c r="G22" s="215"/>
    </row>
    <row r="23" spans="1:7" ht="18.75">
      <c r="A23" s="61"/>
      <c r="B23" s="134"/>
      <c r="C23" s="131"/>
      <c r="D23" s="130"/>
      <c r="E23" s="133"/>
      <c r="F23" s="133"/>
      <c r="G23" s="133"/>
    </row>
    <row r="24" spans="1:7" ht="29.25" customHeight="1">
      <c r="A24" s="61"/>
      <c r="B24" s="153"/>
      <c r="C24" s="61"/>
      <c r="D24" s="61"/>
      <c r="E24" s="61"/>
      <c r="F24" s="61"/>
      <c r="G24" s="61"/>
    </row>
    <row r="25" spans="1:7" ht="12.75">
      <c r="A25" s="61"/>
      <c r="B25" s="61"/>
      <c r="C25" s="61"/>
      <c r="D25" s="61"/>
      <c r="E25" s="61"/>
      <c r="F25" s="61"/>
      <c r="G25" s="61"/>
    </row>
    <row r="26" spans="1:7" ht="18" customHeight="1">
      <c r="A26" s="61"/>
      <c r="B26" s="153"/>
      <c r="C26" s="61"/>
      <c r="D26" s="61"/>
      <c r="E26" s="61"/>
      <c r="F26" s="61"/>
      <c r="G26" s="61"/>
    </row>
    <row r="27" spans="1:7" ht="15.75">
      <c r="A27" s="61"/>
      <c r="B27" s="129"/>
      <c r="C27" s="130"/>
      <c r="D27" s="130"/>
      <c r="E27" s="808"/>
      <c r="F27" s="808"/>
      <c r="G27" s="809"/>
    </row>
    <row r="28" spans="1:7" ht="15.75">
      <c r="A28" s="61"/>
      <c r="B28" s="153"/>
      <c r="C28" s="61"/>
      <c r="D28" s="61"/>
      <c r="E28" s="61"/>
      <c r="F28" s="61"/>
      <c r="G28" s="61"/>
    </row>
    <row r="29" spans="1:7" ht="15.75">
      <c r="A29" s="61"/>
      <c r="B29" s="153"/>
      <c r="C29" s="61"/>
      <c r="D29" s="61"/>
      <c r="E29" s="61"/>
      <c r="F29" s="61"/>
      <c r="G29" s="61"/>
    </row>
    <row r="30" spans="1:6" ht="28.5" customHeight="1">
      <c r="A30" s="61"/>
      <c r="B30" s="153"/>
      <c r="C30" s="61"/>
      <c r="D30" s="61"/>
      <c r="E30" s="61"/>
      <c r="F30" s="61"/>
    </row>
    <row r="31" spans="1:6" ht="15.75">
      <c r="A31" s="61"/>
      <c r="B31" s="129"/>
      <c r="C31" s="130"/>
      <c r="D31" s="130"/>
      <c r="E31" s="808"/>
      <c r="F31" s="809"/>
    </row>
    <row r="32" spans="1:6" ht="12.75">
      <c r="A32" s="61"/>
      <c r="B32" s="61"/>
      <c r="C32" s="61"/>
      <c r="D32" s="61"/>
      <c r="E32" s="61"/>
      <c r="F32" s="61"/>
    </row>
    <row r="33" spans="1:6" ht="12.75">
      <c r="A33" s="61"/>
      <c r="B33" s="61"/>
      <c r="C33" s="61"/>
      <c r="D33" s="61"/>
      <c r="E33" s="61"/>
      <c r="F33" s="61"/>
    </row>
  </sheetData>
  <sheetProtection/>
  <mergeCells count="9">
    <mergeCell ref="B18:C18"/>
    <mergeCell ref="E27:G27"/>
    <mergeCell ref="E31:F31"/>
    <mergeCell ref="A2:G2"/>
    <mergeCell ref="A5:F5"/>
    <mergeCell ref="B6:C6"/>
    <mergeCell ref="B7:C7"/>
    <mergeCell ref="B15:C15"/>
    <mergeCell ref="A17:F1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1">
      <selection activeCell="I62" sqref="I62:I63"/>
    </sheetView>
  </sheetViews>
  <sheetFormatPr defaultColWidth="9.33203125" defaultRowHeight="12.75"/>
  <cols>
    <col min="1" max="1" width="9.33203125" style="35" customWidth="1"/>
    <col min="2" max="2" width="41.16015625" style="35" customWidth="1"/>
    <col min="3" max="3" width="14.5" style="35" customWidth="1"/>
    <col min="4" max="5" width="9.33203125" style="35" hidden="1" customWidth="1"/>
    <col min="6" max="6" width="9.33203125" style="35" customWidth="1"/>
    <col min="7" max="7" width="21.83203125" style="35" customWidth="1"/>
    <col min="8" max="8" width="17.33203125" style="35" customWidth="1"/>
    <col min="9" max="9" width="16.16015625" style="35" customWidth="1"/>
    <col min="10" max="16384" width="9.33203125" style="35" customWidth="1"/>
  </cols>
  <sheetData>
    <row r="1" spans="1:8" ht="14.25" customHeight="1">
      <c r="A1" s="711" t="s">
        <v>500</v>
      </c>
      <c r="B1" s="711"/>
      <c r="C1" s="711"/>
      <c r="D1" s="711"/>
      <c r="E1" s="711"/>
      <c r="F1" s="711"/>
      <c r="G1" s="711"/>
      <c r="H1" s="711"/>
    </row>
    <row r="2" spans="1:7" ht="15">
      <c r="A2" s="104" t="s">
        <v>396</v>
      </c>
      <c r="B2" s="104"/>
      <c r="C2" s="104"/>
      <c r="D2" s="68"/>
      <c r="E2" s="68"/>
      <c r="F2" s="68"/>
      <c r="G2" s="68"/>
    </row>
    <row r="3" spans="1:8" ht="33.75" customHeight="1">
      <c r="A3" s="778" t="s">
        <v>501</v>
      </c>
      <c r="B3" s="778"/>
      <c r="C3" s="778"/>
      <c r="D3" s="778"/>
      <c r="E3" s="778"/>
      <c r="F3" s="778"/>
      <c r="G3" s="778"/>
      <c r="H3" s="778"/>
    </row>
    <row r="4" ht="12.75" hidden="1"/>
    <row r="5" spans="1:8" ht="14.25" hidden="1">
      <c r="A5" s="713" t="s">
        <v>423</v>
      </c>
      <c r="B5" s="713"/>
      <c r="C5" s="713"/>
      <c r="D5" s="713"/>
      <c r="E5" s="713"/>
      <c r="F5" s="713"/>
      <c r="G5" s="713"/>
      <c r="H5" s="713"/>
    </row>
    <row r="6" spans="1:8" ht="45" hidden="1">
      <c r="A6" s="154" t="s">
        <v>286</v>
      </c>
      <c r="B6" s="685" t="s">
        <v>19</v>
      </c>
      <c r="C6" s="782"/>
      <c r="D6" s="783"/>
      <c r="E6" s="154" t="s">
        <v>424</v>
      </c>
      <c r="F6" s="156"/>
      <c r="G6" s="113" t="s">
        <v>425</v>
      </c>
      <c r="H6" s="154" t="s">
        <v>426</v>
      </c>
    </row>
    <row r="7" spans="1:8" ht="15" hidden="1">
      <c r="A7" s="155">
        <v>1</v>
      </c>
      <c r="B7" s="687">
        <v>2</v>
      </c>
      <c r="C7" s="784"/>
      <c r="D7" s="785"/>
      <c r="E7" s="155">
        <v>4</v>
      </c>
      <c r="F7" s="157"/>
      <c r="G7" s="114">
        <v>5</v>
      </c>
      <c r="H7" s="155">
        <v>6</v>
      </c>
    </row>
    <row r="8" spans="1:8" ht="15" hidden="1">
      <c r="A8" s="49"/>
      <c r="B8" s="687"/>
      <c r="C8" s="784"/>
      <c r="D8" s="785"/>
      <c r="E8" s="49"/>
      <c r="F8" s="107"/>
      <c r="G8" s="114"/>
      <c r="H8" s="49">
        <f>E8*G8</f>
        <v>0</v>
      </c>
    </row>
    <row r="9" spans="1:8" ht="15" hidden="1">
      <c r="A9" s="49"/>
      <c r="B9" s="687"/>
      <c r="C9" s="784"/>
      <c r="D9" s="785"/>
      <c r="E9" s="49"/>
      <c r="F9" s="107"/>
      <c r="G9" s="114"/>
      <c r="H9" s="49">
        <f>E9*G9</f>
        <v>0</v>
      </c>
    </row>
    <row r="10" spans="1:8" ht="15" hidden="1">
      <c r="A10" s="49"/>
      <c r="B10" s="708" t="s">
        <v>327</v>
      </c>
      <c r="C10" s="709"/>
      <c r="D10" s="710"/>
      <c r="E10" s="49"/>
      <c r="F10" s="107"/>
      <c r="G10" s="114"/>
      <c r="H10" s="49"/>
    </row>
    <row r="11" spans="1:8" ht="15">
      <c r="A11" s="52"/>
      <c r="B11" s="120"/>
      <c r="C11" s="120"/>
      <c r="D11" s="120"/>
      <c r="E11" s="52"/>
      <c r="F11" s="52"/>
      <c r="G11" s="121"/>
      <c r="H11" s="52"/>
    </row>
    <row r="12" spans="1:8" ht="14.25">
      <c r="A12" s="713" t="s">
        <v>502</v>
      </c>
      <c r="B12" s="713"/>
      <c r="C12" s="713"/>
      <c r="D12" s="713"/>
      <c r="E12" s="713"/>
      <c r="F12" s="713"/>
      <c r="G12" s="713"/>
      <c r="H12" s="713"/>
    </row>
    <row r="13" spans="1:8" ht="45">
      <c r="A13" s="154" t="s">
        <v>286</v>
      </c>
      <c r="B13" s="685" t="s">
        <v>321</v>
      </c>
      <c r="C13" s="782"/>
      <c r="D13" s="783"/>
      <c r="E13" s="154" t="s">
        <v>432</v>
      </c>
      <c r="F13" s="685" t="s">
        <v>433</v>
      </c>
      <c r="G13" s="769"/>
      <c r="H13" s="154" t="s">
        <v>434</v>
      </c>
    </row>
    <row r="14" spans="1:8" ht="12.75">
      <c r="A14" s="112">
        <v>1</v>
      </c>
      <c r="B14" s="802">
        <v>2</v>
      </c>
      <c r="C14" s="803"/>
      <c r="D14" s="804"/>
      <c r="E14" s="112">
        <v>3</v>
      </c>
      <c r="F14" s="802">
        <v>3</v>
      </c>
      <c r="G14" s="771"/>
      <c r="H14" s="112">
        <v>4</v>
      </c>
    </row>
    <row r="15" spans="1:8" ht="33" customHeight="1">
      <c r="A15" s="191">
        <v>1</v>
      </c>
      <c r="B15" s="823"/>
      <c r="C15" s="824"/>
      <c r="D15" s="849"/>
      <c r="E15" s="850"/>
      <c r="F15" s="844"/>
      <c r="G15" s="845"/>
      <c r="H15" s="137">
        <v>0</v>
      </c>
    </row>
    <row r="16" spans="1:8" ht="15" hidden="1">
      <c r="A16" s="191">
        <v>1</v>
      </c>
      <c r="B16" s="852"/>
      <c r="C16" s="853"/>
      <c r="D16" s="854"/>
      <c r="E16" s="851"/>
      <c r="F16" s="844"/>
      <c r="G16" s="845"/>
      <c r="H16" s="137"/>
    </row>
    <row r="17" spans="1:8" ht="15" hidden="1">
      <c r="A17" s="191">
        <v>2</v>
      </c>
      <c r="B17" s="823"/>
      <c r="C17" s="855"/>
      <c r="D17" s="849"/>
      <c r="E17" s="851"/>
      <c r="F17" s="844"/>
      <c r="G17" s="845"/>
      <c r="H17" s="137"/>
    </row>
    <row r="18" spans="1:8" ht="15" hidden="1">
      <c r="A18" s="191">
        <v>3</v>
      </c>
      <c r="B18" s="823"/>
      <c r="C18" s="855"/>
      <c r="D18" s="849"/>
      <c r="E18" s="851"/>
      <c r="F18" s="844"/>
      <c r="G18" s="845"/>
      <c r="H18" s="137"/>
    </row>
    <row r="19" spans="1:8" ht="15" hidden="1">
      <c r="A19" s="192"/>
      <c r="B19" s="833"/>
      <c r="C19" s="834"/>
      <c r="D19" s="835"/>
      <c r="E19" s="232"/>
      <c r="F19" s="844"/>
      <c r="G19" s="845"/>
      <c r="H19" s="137"/>
    </row>
    <row r="20" spans="1:8" ht="12.75" customHeight="1">
      <c r="A20" s="839" t="s">
        <v>503</v>
      </c>
      <c r="B20" s="839"/>
      <c r="C20" s="839"/>
      <c r="D20" s="839"/>
      <c r="E20" s="839"/>
      <c r="F20" s="839"/>
      <c r="G20" s="839"/>
      <c r="H20" s="839"/>
    </row>
    <row r="21" spans="1:8" ht="26.25" customHeight="1">
      <c r="A21" s="193" t="s">
        <v>476</v>
      </c>
      <c r="B21" s="826" t="s">
        <v>321</v>
      </c>
      <c r="C21" s="827"/>
      <c r="D21" s="828"/>
      <c r="E21" s="191" t="s">
        <v>424</v>
      </c>
      <c r="F21" s="193" t="s">
        <v>497</v>
      </c>
      <c r="G21" s="193" t="s">
        <v>459</v>
      </c>
      <c r="H21" s="193" t="s">
        <v>498</v>
      </c>
    </row>
    <row r="22" spans="1:9" ht="14.25" customHeight="1">
      <c r="A22" s="194">
        <v>1</v>
      </c>
      <c r="B22" s="846">
        <v>2</v>
      </c>
      <c r="C22" s="847"/>
      <c r="D22" s="848"/>
      <c r="E22" s="194">
        <v>3</v>
      </c>
      <c r="F22" s="238">
        <v>3</v>
      </c>
      <c r="G22" s="239">
        <v>4</v>
      </c>
      <c r="H22" s="194">
        <v>5</v>
      </c>
      <c r="I22" s="41"/>
    </row>
    <row r="23" spans="1:9" ht="12.75" customHeight="1">
      <c r="A23" s="193">
        <v>1</v>
      </c>
      <c r="B23" s="840" t="s">
        <v>504</v>
      </c>
      <c r="C23" s="841"/>
      <c r="D23" s="841"/>
      <c r="E23" s="842"/>
      <c r="F23" s="193">
        <v>4</v>
      </c>
      <c r="G23" s="193">
        <v>8672.5</v>
      </c>
      <c r="H23" s="193">
        <f>F23*G23</f>
        <v>34690</v>
      </c>
      <c r="I23" s="47">
        <f>618940-H24</f>
        <v>34690</v>
      </c>
    </row>
    <row r="24" spans="1:9" ht="12.75" customHeight="1">
      <c r="A24" s="232">
        <v>2</v>
      </c>
      <c r="B24" s="823" t="s">
        <v>516</v>
      </c>
      <c r="C24" s="824"/>
      <c r="D24" s="824"/>
      <c r="E24" s="843"/>
      <c r="F24" s="195">
        <v>95</v>
      </c>
      <c r="G24" s="232">
        <v>6150</v>
      </c>
      <c r="H24" s="137">
        <f>F24*G24</f>
        <v>584250</v>
      </c>
      <c r="I24" s="47">
        <f>I23-H23</f>
        <v>0</v>
      </c>
    </row>
    <row r="25" spans="1:9" ht="12.75" customHeight="1" hidden="1">
      <c r="A25" s="232"/>
      <c r="B25" s="236"/>
      <c r="C25" s="237"/>
      <c r="D25" s="237"/>
      <c r="E25" s="240"/>
      <c r="F25" s="195"/>
      <c r="G25" s="232"/>
      <c r="H25" s="137"/>
      <c r="I25" s="41"/>
    </row>
    <row r="26" spans="1:9" ht="12.75" customHeight="1">
      <c r="A26" s="192"/>
      <c r="B26" s="833" t="s">
        <v>381</v>
      </c>
      <c r="C26" s="834"/>
      <c r="D26" s="835"/>
      <c r="E26" s="232"/>
      <c r="F26" s="232"/>
      <c r="G26" s="232" t="s">
        <v>34</v>
      </c>
      <c r="H26" s="196">
        <f>H23+H24+H25</f>
        <v>618940</v>
      </c>
      <c r="I26" s="47"/>
    </row>
    <row r="27" spans="1:9" ht="15" customHeight="1">
      <c r="A27" s="839" t="s">
        <v>505</v>
      </c>
      <c r="B27" s="839"/>
      <c r="C27" s="839"/>
      <c r="D27" s="839"/>
      <c r="E27" s="839"/>
      <c r="F27" s="839"/>
      <c r="G27" s="839"/>
      <c r="H27" s="839"/>
      <c r="I27" s="41"/>
    </row>
    <row r="28" spans="1:9" ht="15" customHeight="1">
      <c r="A28" s="193" t="s">
        <v>476</v>
      </c>
      <c r="B28" s="826" t="s">
        <v>321</v>
      </c>
      <c r="C28" s="827"/>
      <c r="D28" s="828"/>
      <c r="E28" s="191" t="s">
        <v>424</v>
      </c>
      <c r="F28" s="193" t="s">
        <v>497</v>
      </c>
      <c r="G28" s="193" t="s">
        <v>459</v>
      </c>
      <c r="H28" s="193" t="s">
        <v>498</v>
      </c>
      <c r="I28" s="41"/>
    </row>
    <row r="29" spans="1:9" ht="15" customHeight="1">
      <c r="A29" s="197">
        <v>1</v>
      </c>
      <c r="B29" s="836">
        <v>2</v>
      </c>
      <c r="C29" s="837"/>
      <c r="D29" s="838"/>
      <c r="E29" s="197">
        <v>3</v>
      </c>
      <c r="F29" s="262">
        <v>3</v>
      </c>
      <c r="G29" s="266">
        <v>4</v>
      </c>
      <c r="H29" s="197">
        <v>5</v>
      </c>
      <c r="I29" s="41"/>
    </row>
    <row r="30" spans="1:9" ht="15" customHeight="1">
      <c r="A30" s="193">
        <v>1</v>
      </c>
      <c r="B30" s="840" t="s">
        <v>506</v>
      </c>
      <c r="C30" s="841"/>
      <c r="D30" s="841"/>
      <c r="E30" s="842"/>
      <c r="F30" s="193">
        <v>95</v>
      </c>
      <c r="G30" s="193">
        <v>138.212</v>
      </c>
      <c r="H30" s="193">
        <f>F30*G30</f>
        <v>13130.14</v>
      </c>
      <c r="I30" s="41"/>
    </row>
    <row r="31" spans="1:9" ht="15" customHeight="1">
      <c r="A31" s="192"/>
      <c r="B31" s="833" t="s">
        <v>381</v>
      </c>
      <c r="C31" s="834"/>
      <c r="D31" s="835"/>
      <c r="E31" s="232"/>
      <c r="F31" s="232"/>
      <c r="G31" s="232" t="s">
        <v>34</v>
      </c>
      <c r="H31" s="196">
        <f>H30</f>
        <v>13130.14</v>
      </c>
      <c r="I31" s="41"/>
    </row>
    <row r="32" spans="1:9" ht="12.75" customHeight="1" hidden="1">
      <c r="A32" s="825" t="s">
        <v>507</v>
      </c>
      <c r="B32" s="825"/>
      <c r="C32" s="825"/>
      <c r="D32" s="825"/>
      <c r="E32" s="825"/>
      <c r="F32" s="825"/>
      <c r="G32" s="825"/>
      <c r="H32" s="825"/>
      <c r="I32" s="41"/>
    </row>
    <row r="33" spans="1:9" ht="25.5" customHeight="1" hidden="1">
      <c r="A33" s="193" t="s">
        <v>476</v>
      </c>
      <c r="B33" s="826" t="s">
        <v>321</v>
      </c>
      <c r="C33" s="827"/>
      <c r="D33" s="828"/>
      <c r="E33" s="191" t="s">
        <v>424</v>
      </c>
      <c r="F33" s="193" t="s">
        <v>497</v>
      </c>
      <c r="G33" s="193" t="s">
        <v>459</v>
      </c>
      <c r="H33" s="193" t="s">
        <v>498</v>
      </c>
      <c r="I33" s="41"/>
    </row>
    <row r="34" spans="1:9" ht="12.75" hidden="1">
      <c r="A34" s="197">
        <v>1</v>
      </c>
      <c r="B34" s="836">
        <v>2</v>
      </c>
      <c r="C34" s="837"/>
      <c r="D34" s="838"/>
      <c r="E34" s="197">
        <v>3</v>
      </c>
      <c r="F34" s="197"/>
      <c r="G34" s="197">
        <v>4</v>
      </c>
      <c r="H34" s="197">
        <v>5</v>
      </c>
      <c r="I34" s="41"/>
    </row>
    <row r="35" spans="1:9" ht="15" hidden="1">
      <c r="A35" s="232">
        <v>1</v>
      </c>
      <c r="B35" s="830" t="s">
        <v>527</v>
      </c>
      <c r="C35" s="831"/>
      <c r="D35" s="832"/>
      <c r="E35" s="232">
        <v>1</v>
      </c>
      <c r="F35" s="232"/>
      <c r="G35" s="232"/>
      <c r="H35" s="196">
        <f>F35*G35</f>
        <v>0</v>
      </c>
      <c r="I35" s="41"/>
    </row>
    <row r="36" spans="1:9" ht="15" hidden="1">
      <c r="A36" s="232">
        <v>2</v>
      </c>
      <c r="B36" s="233" t="s">
        <v>525</v>
      </c>
      <c r="C36" s="234"/>
      <c r="D36" s="235"/>
      <c r="E36" s="232"/>
      <c r="F36" s="232"/>
      <c r="G36" s="232"/>
      <c r="H36" s="196">
        <f>F36*G36</f>
        <v>0</v>
      </c>
      <c r="I36" s="812"/>
    </row>
    <row r="37" spans="1:9" ht="15" hidden="1">
      <c r="A37" s="232">
        <v>3</v>
      </c>
      <c r="B37" s="233" t="s">
        <v>526</v>
      </c>
      <c r="C37" s="234"/>
      <c r="D37" s="235"/>
      <c r="E37" s="232"/>
      <c r="F37" s="232"/>
      <c r="G37" s="232"/>
      <c r="H37" s="196">
        <f>F37*G37</f>
        <v>0</v>
      </c>
      <c r="I37" s="812"/>
    </row>
    <row r="38" spans="1:9" ht="15" hidden="1">
      <c r="A38" s="258">
        <v>4</v>
      </c>
      <c r="B38" s="259" t="s">
        <v>537</v>
      </c>
      <c r="C38" s="260"/>
      <c r="D38" s="261"/>
      <c r="E38" s="258"/>
      <c r="F38" s="258"/>
      <c r="G38" s="258"/>
      <c r="H38" s="196">
        <f>F38*G38</f>
        <v>0</v>
      </c>
      <c r="I38" s="283"/>
    </row>
    <row r="39" spans="1:9" ht="15" hidden="1">
      <c r="A39" s="232">
        <v>5</v>
      </c>
      <c r="B39" s="233" t="s">
        <v>538</v>
      </c>
      <c r="C39" s="234"/>
      <c r="D39" s="235"/>
      <c r="E39" s="232"/>
      <c r="F39" s="232"/>
      <c r="G39" s="232"/>
      <c r="H39" s="196">
        <f>F39*G39</f>
        <v>0</v>
      </c>
      <c r="I39" s="41"/>
    </row>
    <row r="40" spans="1:9" ht="13.5" customHeight="1" hidden="1">
      <c r="A40" s="192"/>
      <c r="B40" s="813" t="s">
        <v>381</v>
      </c>
      <c r="C40" s="814"/>
      <c r="D40" s="815"/>
      <c r="E40" s="232"/>
      <c r="F40" s="232"/>
      <c r="G40" s="232"/>
      <c r="H40" s="196">
        <f>H35+H36+H37+H39+H38</f>
        <v>0</v>
      </c>
      <c r="I40" s="41"/>
    </row>
    <row r="41" spans="1:9" ht="14.25">
      <c r="A41" s="825" t="s">
        <v>508</v>
      </c>
      <c r="B41" s="825"/>
      <c r="C41" s="825"/>
      <c r="D41" s="825"/>
      <c r="E41" s="825"/>
      <c r="F41" s="825"/>
      <c r="G41" s="825"/>
      <c r="H41" s="825"/>
      <c r="I41" s="41"/>
    </row>
    <row r="42" spans="1:9" ht="30">
      <c r="A42" s="193" t="s">
        <v>476</v>
      </c>
      <c r="B42" s="826" t="s">
        <v>321</v>
      </c>
      <c r="C42" s="827"/>
      <c r="D42" s="828"/>
      <c r="E42" s="191" t="s">
        <v>424</v>
      </c>
      <c r="F42" s="193" t="s">
        <v>497</v>
      </c>
      <c r="G42" s="193" t="s">
        <v>459</v>
      </c>
      <c r="H42" s="193" t="s">
        <v>498</v>
      </c>
      <c r="I42" s="41"/>
    </row>
    <row r="43" spans="1:9" ht="10.5" customHeight="1">
      <c r="A43" s="197">
        <v>1</v>
      </c>
      <c r="B43" s="829">
        <v>2</v>
      </c>
      <c r="C43" s="829"/>
      <c r="D43" s="829"/>
      <c r="E43" s="197">
        <v>3</v>
      </c>
      <c r="F43" s="197">
        <v>3</v>
      </c>
      <c r="G43" s="197">
        <v>4</v>
      </c>
      <c r="H43" s="197">
        <v>5</v>
      </c>
      <c r="I43" s="41"/>
    </row>
    <row r="44" spans="1:9" ht="15" hidden="1">
      <c r="A44" s="232"/>
      <c r="B44" s="830"/>
      <c r="C44" s="831"/>
      <c r="D44" s="832"/>
      <c r="E44" s="232"/>
      <c r="F44" s="232"/>
      <c r="G44" s="232"/>
      <c r="H44" s="196"/>
      <c r="I44" s="41"/>
    </row>
    <row r="45" spans="1:9" ht="14.25" customHeight="1" hidden="1">
      <c r="A45" s="198"/>
      <c r="B45" s="199"/>
      <c r="C45" s="234"/>
      <c r="D45" s="235"/>
      <c r="E45" s="232"/>
      <c r="F45" s="232"/>
      <c r="G45" s="232"/>
      <c r="H45" s="196"/>
      <c r="I45" s="203"/>
    </row>
    <row r="46" spans="1:9" ht="15">
      <c r="A46" s="198">
        <v>1</v>
      </c>
      <c r="B46" s="200" t="s">
        <v>509</v>
      </c>
      <c r="C46" s="201"/>
      <c r="D46" s="202"/>
      <c r="E46" s="232"/>
      <c r="F46" s="232">
        <v>95</v>
      </c>
      <c r="G46" s="232">
        <v>45</v>
      </c>
      <c r="H46" s="196">
        <f>F46*G46</f>
        <v>4275</v>
      </c>
      <c r="I46" s="41"/>
    </row>
    <row r="47" spans="1:9" ht="30.75" customHeight="1">
      <c r="A47" s="198">
        <v>2</v>
      </c>
      <c r="B47" s="823" t="s">
        <v>510</v>
      </c>
      <c r="C47" s="824"/>
      <c r="D47" s="202"/>
      <c r="E47" s="232"/>
      <c r="F47" s="232">
        <v>95</v>
      </c>
      <c r="G47" s="232">
        <v>345</v>
      </c>
      <c r="H47" s="196">
        <f>F47*G47</f>
        <v>32775</v>
      </c>
      <c r="I47" s="41"/>
    </row>
    <row r="48" spans="1:9" ht="15" customHeight="1">
      <c r="A48" s="198">
        <v>3</v>
      </c>
      <c r="B48" s="236" t="s">
        <v>536</v>
      </c>
      <c r="C48" s="237"/>
      <c r="D48" s="202"/>
      <c r="E48" s="232"/>
      <c r="F48" s="232">
        <v>0</v>
      </c>
      <c r="G48" s="232">
        <v>0</v>
      </c>
      <c r="H48" s="196">
        <f>F48*G48</f>
        <v>0</v>
      </c>
      <c r="I48" s="812"/>
    </row>
    <row r="49" spans="1:9" ht="15" customHeight="1">
      <c r="A49" s="198">
        <v>4</v>
      </c>
      <c r="B49" s="236" t="s">
        <v>529</v>
      </c>
      <c r="C49" s="237"/>
      <c r="D49" s="202"/>
      <c r="E49" s="232"/>
      <c r="F49" s="232">
        <v>100</v>
      </c>
      <c r="G49" s="232">
        <v>521.64</v>
      </c>
      <c r="H49" s="196">
        <f>F49*G49</f>
        <v>52164</v>
      </c>
      <c r="I49" s="812"/>
    </row>
    <row r="50" spans="1:9" ht="15" customHeight="1">
      <c r="A50" s="198">
        <v>5</v>
      </c>
      <c r="B50" s="823" t="s">
        <v>528</v>
      </c>
      <c r="C50" s="824"/>
      <c r="D50" s="202"/>
      <c r="E50" s="232"/>
      <c r="F50" s="232">
        <v>0</v>
      </c>
      <c r="G50" s="232">
        <v>0</v>
      </c>
      <c r="H50" s="196">
        <f>F50*G50</f>
        <v>0</v>
      </c>
      <c r="I50" s="41"/>
    </row>
    <row r="51" spans="1:9" ht="15" customHeight="1" hidden="1">
      <c r="A51" s="198"/>
      <c r="B51" s="236"/>
      <c r="C51" s="237"/>
      <c r="D51" s="202"/>
      <c r="E51" s="232"/>
      <c r="F51" s="232"/>
      <c r="G51" s="232"/>
      <c r="H51" s="196"/>
      <c r="I51" s="41"/>
    </row>
    <row r="52" spans="1:9" ht="15">
      <c r="A52" s="192"/>
      <c r="B52" s="813" t="s">
        <v>381</v>
      </c>
      <c r="C52" s="814"/>
      <c r="D52" s="815"/>
      <c r="E52" s="232"/>
      <c r="F52" s="232"/>
      <c r="G52" s="232"/>
      <c r="H52" s="196">
        <f>SUM(H44:H51)</f>
        <v>89214</v>
      </c>
      <c r="I52" s="203">
        <f>H26+H31+H52</f>
        <v>721284.14</v>
      </c>
    </row>
    <row r="53" spans="2:9" ht="15.75">
      <c r="B53" s="816" t="s">
        <v>530</v>
      </c>
      <c r="C53" s="818"/>
      <c r="D53" s="204"/>
      <c r="E53" s="205"/>
      <c r="F53" s="820"/>
      <c r="G53" s="822" t="s">
        <v>543</v>
      </c>
      <c r="H53" s="48"/>
      <c r="I53" s="41">
        <f>52164+32775+618940+13130.14+4275</f>
        <v>721284.14</v>
      </c>
    </row>
    <row r="54" spans="2:9" ht="18.75">
      <c r="B54" s="817"/>
      <c r="C54" s="819"/>
      <c r="D54" s="206"/>
      <c r="E54" s="207"/>
      <c r="F54" s="821"/>
      <c r="G54" s="817"/>
      <c r="H54" s="249"/>
      <c r="I54" s="203">
        <f>I53-I52</f>
        <v>0</v>
      </c>
    </row>
    <row r="55" spans="2:9" ht="12.75">
      <c r="B55" s="128"/>
      <c r="C55" s="61"/>
      <c r="D55" s="61"/>
      <c r="E55" s="61"/>
      <c r="F55" s="61"/>
      <c r="G55" s="61"/>
      <c r="H55" s="203">
        <f>H19+H26+H31+H40+H52</f>
        <v>721284.14</v>
      </c>
      <c r="I55" s="41"/>
    </row>
    <row r="56" spans="2:9" ht="15.75">
      <c r="B56" s="208"/>
      <c r="C56" s="61"/>
      <c r="D56" s="61"/>
      <c r="E56" s="61"/>
      <c r="F56" s="61"/>
      <c r="G56" s="61"/>
      <c r="H56" s="203">
        <f>'244 ИЦ'!H55+'244 МЗ (3)'!F15+'244 МЗ (2)'!G31+'244 МЗ (2)'!G50+'244,247 МЗ'!G57+'244,247 МЗ'!G37+'244,247 МЗ'!G17+'290 МЗ'!G9+'290 МЗ'!G17+'НЧ ИЦ'!F16+'НЧ МЗ'!F18+'ПВ ИЦ'!H9+'ПВ МЗ'!F9+'ПВ МЗ'!F15+'ПВ МЗ'!G21+'ПВ МЗ'!G57+'ПВ МЗ'!F67+'ЗП ИЦ'!EA24+'ЗП МЗ'!K31</f>
        <v>36678814.142110005</v>
      </c>
      <c r="I56" s="41"/>
    </row>
    <row r="57" spans="1:9" ht="31.5">
      <c r="A57" s="61"/>
      <c r="B57" s="209" t="s">
        <v>313</v>
      </c>
      <c r="C57" s="204"/>
      <c r="D57" s="204"/>
      <c r="E57" s="205" t="s">
        <v>470</v>
      </c>
      <c r="F57" s="205"/>
      <c r="G57" s="210" t="s">
        <v>470</v>
      </c>
      <c r="H57" s="203">
        <f>H55+'НЧ ИЦ'!F16+'ПВ ИЦ'!H8+'ЗП ИЦ'!EA24</f>
        <v>2538084.1348</v>
      </c>
      <c r="I57" s="41"/>
    </row>
    <row r="58" spans="1:9" ht="18.75">
      <c r="A58" s="61"/>
      <c r="B58" s="211"/>
      <c r="C58" s="131"/>
      <c r="D58" s="130"/>
      <c r="E58" s="132"/>
      <c r="F58" s="132"/>
      <c r="G58" s="133"/>
      <c r="H58" s="41"/>
      <c r="I58" s="41"/>
    </row>
    <row r="59" spans="1:7" ht="31.5">
      <c r="A59" s="61"/>
      <c r="B59" s="212" t="s">
        <v>195</v>
      </c>
      <c r="C59" s="152"/>
      <c r="D59" s="152"/>
      <c r="E59" s="213" t="s">
        <v>511</v>
      </c>
      <c r="F59" s="213"/>
      <c r="G59" s="210" t="s">
        <v>470</v>
      </c>
    </row>
    <row r="60" spans="1:7" ht="18.75">
      <c r="A60" s="61"/>
      <c r="B60" s="134"/>
      <c r="C60" s="131"/>
      <c r="D60" s="134"/>
      <c r="E60" s="133"/>
      <c r="F60" s="133"/>
      <c r="G60" s="133"/>
    </row>
    <row r="61" spans="1:7" ht="15.75">
      <c r="A61" s="61"/>
      <c r="B61" s="135" t="s">
        <v>467</v>
      </c>
      <c r="C61" s="130"/>
      <c r="D61" s="130"/>
      <c r="E61" s="158"/>
      <c r="F61" s="158"/>
      <c r="G61" s="130"/>
    </row>
    <row r="62" spans="1:7" ht="18.75">
      <c r="A62" s="61"/>
      <c r="C62" s="131"/>
      <c r="D62" s="130"/>
      <c r="E62" s="133"/>
      <c r="F62" s="133"/>
      <c r="G62" s="133"/>
    </row>
    <row r="63" ht="15.75">
      <c r="B63" s="135" t="s">
        <v>468</v>
      </c>
    </row>
    <row r="64" ht="15.75">
      <c r="B64" s="135"/>
    </row>
    <row r="65" ht="15.75">
      <c r="B65" s="135"/>
    </row>
    <row r="66" spans="2:7" ht="15.75">
      <c r="B66" s="136"/>
      <c r="C66" s="130"/>
      <c r="D66" s="130"/>
      <c r="E66" s="808"/>
      <c r="F66" s="808"/>
      <c r="G66" s="809"/>
    </row>
  </sheetData>
  <sheetProtection/>
  <mergeCells count="54">
    <mergeCell ref="A1:H1"/>
    <mergeCell ref="A3:H3"/>
    <mergeCell ref="A5:H5"/>
    <mergeCell ref="B6:D6"/>
    <mergeCell ref="B7:D7"/>
    <mergeCell ref="B8:D8"/>
    <mergeCell ref="B9:D9"/>
    <mergeCell ref="B10:D10"/>
    <mergeCell ref="A12:H12"/>
    <mergeCell ref="B13:D13"/>
    <mergeCell ref="F13:G13"/>
    <mergeCell ref="B14:D14"/>
    <mergeCell ref="F14:G14"/>
    <mergeCell ref="B15:D15"/>
    <mergeCell ref="E15:E18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A20:H20"/>
    <mergeCell ref="B21:D21"/>
    <mergeCell ref="B22:D22"/>
    <mergeCell ref="B23:E23"/>
    <mergeCell ref="A27:H27"/>
    <mergeCell ref="B28:D28"/>
    <mergeCell ref="B29:D29"/>
    <mergeCell ref="B30:E30"/>
    <mergeCell ref="B24:E24"/>
    <mergeCell ref="B26:D26"/>
    <mergeCell ref="B31:D31"/>
    <mergeCell ref="A32:H32"/>
    <mergeCell ref="B33:D33"/>
    <mergeCell ref="B34:D34"/>
    <mergeCell ref="B35:D35"/>
    <mergeCell ref="I36:I37"/>
    <mergeCell ref="B40:D40"/>
    <mergeCell ref="A41:H41"/>
    <mergeCell ref="B42:D42"/>
    <mergeCell ref="B43:D43"/>
    <mergeCell ref="B44:D44"/>
    <mergeCell ref="B47:C47"/>
    <mergeCell ref="E66:G66"/>
    <mergeCell ref="I48:I49"/>
    <mergeCell ref="B52:D52"/>
    <mergeCell ref="B53:B54"/>
    <mergeCell ref="C53:C54"/>
    <mergeCell ref="F53:F54"/>
    <mergeCell ref="G53:G54"/>
    <mergeCell ref="B50:C50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20">
      <selection activeCell="H16" sqref="H16:H17"/>
    </sheetView>
  </sheetViews>
  <sheetFormatPr defaultColWidth="9.33203125" defaultRowHeight="12.75"/>
  <cols>
    <col min="1" max="1" width="9.33203125" style="35" customWidth="1"/>
    <col min="2" max="2" width="41.16015625" style="35" customWidth="1"/>
    <col min="3" max="3" width="14.5" style="35" customWidth="1"/>
    <col min="4" max="5" width="9.33203125" style="35" hidden="1" customWidth="1"/>
    <col min="6" max="6" width="9.33203125" style="35" customWidth="1"/>
    <col min="7" max="7" width="21.83203125" style="35" customWidth="1"/>
    <col min="8" max="8" width="17.33203125" style="35" customWidth="1"/>
    <col min="9" max="9" width="16.16015625" style="35" customWidth="1"/>
    <col min="10" max="16384" width="9.33203125" style="35" customWidth="1"/>
  </cols>
  <sheetData>
    <row r="1" spans="1:8" ht="14.25" customHeight="1">
      <c r="A1" s="711" t="s">
        <v>554</v>
      </c>
      <c r="B1" s="711"/>
      <c r="C1" s="711"/>
      <c r="D1" s="711"/>
      <c r="E1" s="711"/>
      <c r="F1" s="711"/>
      <c r="G1" s="711"/>
      <c r="H1" s="711"/>
    </row>
    <row r="2" spans="1:7" ht="15">
      <c r="A2" s="104"/>
      <c r="B2" s="104"/>
      <c r="C2" s="104"/>
      <c r="D2" s="68"/>
      <c r="E2" s="68"/>
      <c r="F2" s="68"/>
      <c r="G2" s="68"/>
    </row>
    <row r="3" spans="1:8" ht="33.75" customHeight="1">
      <c r="A3" s="778" t="s">
        <v>501</v>
      </c>
      <c r="B3" s="778"/>
      <c r="C3" s="778"/>
      <c r="D3" s="778"/>
      <c r="E3" s="778"/>
      <c r="F3" s="778"/>
      <c r="G3" s="778"/>
      <c r="H3" s="778"/>
    </row>
    <row r="4" ht="12.75" hidden="1"/>
    <row r="5" spans="1:8" ht="14.25" hidden="1">
      <c r="A5" s="713" t="s">
        <v>423</v>
      </c>
      <c r="B5" s="713"/>
      <c r="C5" s="713"/>
      <c r="D5" s="713"/>
      <c r="E5" s="713"/>
      <c r="F5" s="713"/>
      <c r="G5" s="713"/>
      <c r="H5" s="713"/>
    </row>
    <row r="6" spans="1:8" ht="45" hidden="1">
      <c r="A6" s="286" t="s">
        <v>286</v>
      </c>
      <c r="B6" s="685" t="s">
        <v>19</v>
      </c>
      <c r="C6" s="782"/>
      <c r="D6" s="783"/>
      <c r="E6" s="286" t="s">
        <v>424</v>
      </c>
      <c r="F6" s="289"/>
      <c r="G6" s="113" t="s">
        <v>425</v>
      </c>
      <c r="H6" s="286" t="s">
        <v>426</v>
      </c>
    </row>
    <row r="7" spans="1:8" ht="15" hidden="1">
      <c r="A7" s="287">
        <v>1</v>
      </c>
      <c r="B7" s="687">
        <v>2</v>
      </c>
      <c r="C7" s="784"/>
      <c r="D7" s="785"/>
      <c r="E7" s="287">
        <v>4</v>
      </c>
      <c r="F7" s="290"/>
      <c r="G7" s="114">
        <v>5</v>
      </c>
      <c r="H7" s="287">
        <v>6</v>
      </c>
    </row>
    <row r="8" spans="1:8" ht="15" hidden="1">
      <c r="A8" s="49"/>
      <c r="B8" s="687"/>
      <c r="C8" s="784"/>
      <c r="D8" s="785"/>
      <c r="E8" s="49"/>
      <c r="F8" s="107"/>
      <c r="G8" s="114"/>
      <c r="H8" s="49">
        <f>E8*G8</f>
        <v>0</v>
      </c>
    </row>
    <row r="9" spans="1:8" ht="15" hidden="1">
      <c r="A9" s="49"/>
      <c r="B9" s="687"/>
      <c r="C9" s="784"/>
      <c r="D9" s="785"/>
      <c r="E9" s="49"/>
      <c r="F9" s="107"/>
      <c r="G9" s="114"/>
      <c r="H9" s="49">
        <f>E9*G9</f>
        <v>0</v>
      </c>
    </row>
    <row r="10" spans="1:8" ht="15" hidden="1">
      <c r="A10" s="49"/>
      <c r="B10" s="708" t="s">
        <v>327</v>
      </c>
      <c r="C10" s="709"/>
      <c r="D10" s="710"/>
      <c r="E10" s="49"/>
      <c r="F10" s="107"/>
      <c r="G10" s="114"/>
      <c r="H10" s="49"/>
    </row>
    <row r="11" spans="1:8" ht="15">
      <c r="A11" s="52"/>
      <c r="B11" s="120"/>
      <c r="C11" s="120"/>
      <c r="D11" s="120"/>
      <c r="E11" s="52"/>
      <c r="F11" s="52"/>
      <c r="G11" s="121"/>
      <c r="H11" s="52"/>
    </row>
    <row r="12" spans="1:8" ht="14.25">
      <c r="A12" s="713"/>
      <c r="B12" s="713"/>
      <c r="C12" s="713"/>
      <c r="D12" s="713"/>
      <c r="E12" s="713"/>
      <c r="F12" s="713"/>
      <c r="G12" s="713"/>
      <c r="H12" s="713"/>
    </row>
    <row r="13" spans="1:8" ht="15">
      <c r="A13" s="286" t="s">
        <v>286</v>
      </c>
      <c r="B13" s="685" t="s">
        <v>321</v>
      </c>
      <c r="C13" s="782"/>
      <c r="D13" s="783"/>
      <c r="E13" s="286" t="s">
        <v>432</v>
      </c>
      <c r="F13" s="685" t="s">
        <v>556</v>
      </c>
      <c r="G13" s="769"/>
      <c r="H13" s="286" t="s">
        <v>557</v>
      </c>
    </row>
    <row r="14" spans="1:8" ht="12.75">
      <c r="A14" s="112">
        <v>1</v>
      </c>
      <c r="B14" s="802">
        <v>2</v>
      </c>
      <c r="C14" s="803"/>
      <c r="D14" s="804"/>
      <c r="E14" s="112">
        <v>3</v>
      </c>
      <c r="F14" s="802">
        <v>3</v>
      </c>
      <c r="G14" s="771"/>
      <c r="H14" s="112">
        <v>4</v>
      </c>
    </row>
    <row r="15" spans="1:8" ht="21.75" customHeight="1">
      <c r="A15" s="191">
        <v>1</v>
      </c>
      <c r="B15" s="823" t="s">
        <v>555</v>
      </c>
      <c r="C15" s="824"/>
      <c r="D15" s="849"/>
      <c r="E15" s="297"/>
      <c r="F15" s="844" t="s">
        <v>558</v>
      </c>
      <c r="G15" s="845"/>
      <c r="H15" s="137">
        <v>0.28</v>
      </c>
    </row>
    <row r="16" spans="1:8" ht="21.75" customHeight="1">
      <c r="A16" s="193">
        <v>2</v>
      </c>
      <c r="B16" s="823" t="s">
        <v>555</v>
      </c>
      <c r="C16" s="824"/>
      <c r="D16" s="849"/>
      <c r="E16" s="191"/>
      <c r="F16" s="856" t="s">
        <v>559</v>
      </c>
      <c r="G16" s="857"/>
      <c r="H16" s="193">
        <v>20157.93</v>
      </c>
    </row>
    <row r="17" spans="1:9" ht="21.75" customHeight="1">
      <c r="A17" s="296">
        <v>3</v>
      </c>
      <c r="B17" s="823" t="s">
        <v>555</v>
      </c>
      <c r="C17" s="824"/>
      <c r="D17" s="849"/>
      <c r="E17" s="194"/>
      <c r="F17" s="858" t="s">
        <v>560</v>
      </c>
      <c r="G17" s="859"/>
      <c r="H17" s="296">
        <v>522439.08</v>
      </c>
      <c r="I17" s="41"/>
    </row>
    <row r="18" spans="1:9" ht="21.75" customHeight="1">
      <c r="A18" s="193">
        <v>4</v>
      </c>
      <c r="B18" s="840" t="s">
        <v>555</v>
      </c>
      <c r="C18" s="841"/>
      <c r="D18" s="841"/>
      <c r="E18" s="842"/>
      <c r="F18" s="856" t="s">
        <v>561</v>
      </c>
      <c r="G18" s="857"/>
      <c r="H18" s="193">
        <v>73324.68</v>
      </c>
      <c r="I18" s="47">
        <f>618940-H19</f>
        <v>588053.64</v>
      </c>
    </row>
    <row r="19" spans="1:9" ht="21.75" customHeight="1">
      <c r="A19" s="296">
        <v>5</v>
      </c>
      <c r="B19" s="823" t="s">
        <v>555</v>
      </c>
      <c r="C19" s="824"/>
      <c r="D19" s="824"/>
      <c r="E19" s="843"/>
      <c r="F19" s="860" t="s">
        <v>562</v>
      </c>
      <c r="G19" s="861"/>
      <c r="H19" s="137">
        <v>30886.36</v>
      </c>
      <c r="I19" s="47">
        <f>I18-H18</f>
        <v>514728.96</v>
      </c>
    </row>
    <row r="20" spans="1:9" ht="21.75" customHeight="1">
      <c r="A20" s="296">
        <v>6</v>
      </c>
      <c r="B20" s="823" t="s">
        <v>555</v>
      </c>
      <c r="C20" s="824"/>
      <c r="D20" s="849"/>
      <c r="E20" s="296"/>
      <c r="F20" s="858" t="s">
        <v>563</v>
      </c>
      <c r="G20" s="859"/>
      <c r="H20" s="196">
        <v>42976</v>
      </c>
      <c r="I20" s="47"/>
    </row>
    <row r="21" spans="1:9" ht="21.75" customHeight="1">
      <c r="A21" s="193">
        <v>7</v>
      </c>
      <c r="B21" s="823" t="s">
        <v>555</v>
      </c>
      <c r="C21" s="824"/>
      <c r="D21" s="849"/>
      <c r="E21" s="191"/>
      <c r="F21" s="856" t="s">
        <v>564</v>
      </c>
      <c r="G21" s="857"/>
      <c r="H21" s="193">
        <v>13.93</v>
      </c>
      <c r="I21" s="41"/>
    </row>
    <row r="22" spans="1:9" ht="21.75" customHeight="1">
      <c r="A22" s="296">
        <v>8</v>
      </c>
      <c r="B22" s="823" t="s">
        <v>555</v>
      </c>
      <c r="C22" s="824"/>
      <c r="D22" s="849"/>
      <c r="E22" s="295"/>
      <c r="F22" s="858" t="s">
        <v>565</v>
      </c>
      <c r="G22" s="859"/>
      <c r="H22" s="296">
        <v>1617267.74</v>
      </c>
      <c r="I22" s="41"/>
    </row>
    <row r="23" spans="1:9" ht="21.75" customHeight="1">
      <c r="A23" s="192"/>
      <c r="B23" s="813" t="s">
        <v>566</v>
      </c>
      <c r="C23" s="814"/>
      <c r="D23" s="815"/>
      <c r="E23" s="296"/>
      <c r="F23" s="858"/>
      <c r="G23" s="859"/>
      <c r="H23" s="196">
        <f>SUM(H15:H22)</f>
        <v>2307066</v>
      </c>
      <c r="I23" s="203" t="e">
        <f>H20+#REF!+H23</f>
        <v>#REF!</v>
      </c>
    </row>
    <row r="24" spans="1:9" ht="15">
      <c r="A24" s="298"/>
      <c r="B24" s="299"/>
      <c r="C24" s="302"/>
      <c r="D24" s="302"/>
      <c r="E24" s="303"/>
      <c r="F24" s="303"/>
      <c r="G24" s="300"/>
      <c r="H24" s="301"/>
      <c r="I24" s="203"/>
    </row>
    <row r="25" spans="1:9" ht="15">
      <c r="A25" s="298"/>
      <c r="B25" s="299"/>
      <c r="C25" s="299"/>
      <c r="D25" s="302"/>
      <c r="E25" s="303"/>
      <c r="F25" s="300"/>
      <c r="G25" s="300"/>
      <c r="H25" s="301"/>
      <c r="I25" s="203"/>
    </row>
    <row r="26" spans="1:9" ht="15">
      <c r="A26" s="298"/>
      <c r="B26" s="299"/>
      <c r="C26" s="299"/>
      <c r="D26" s="302"/>
      <c r="E26" s="303"/>
      <c r="F26" s="300"/>
      <c r="G26" s="300"/>
      <c r="H26" s="301"/>
      <c r="I26" s="203"/>
    </row>
    <row r="27" spans="1:9" ht="15">
      <c r="A27" s="298"/>
      <c r="B27" s="299"/>
      <c r="C27" s="299"/>
      <c r="D27" s="302"/>
      <c r="E27" s="303"/>
      <c r="F27" s="300"/>
      <c r="G27" s="300"/>
      <c r="H27" s="301"/>
      <c r="I27" s="203"/>
    </row>
    <row r="28" spans="1:9" ht="15">
      <c r="A28" s="298"/>
      <c r="B28" s="299"/>
      <c r="C28" s="299"/>
      <c r="D28" s="302"/>
      <c r="E28" s="303"/>
      <c r="F28" s="300"/>
      <c r="G28" s="300"/>
      <c r="H28" s="301"/>
      <c r="I28" s="203"/>
    </row>
    <row r="29" spans="1:9" ht="15">
      <c r="A29" s="298"/>
      <c r="B29" s="299"/>
      <c r="C29" s="299"/>
      <c r="D29" s="302"/>
      <c r="E29" s="303"/>
      <c r="F29" s="300"/>
      <c r="G29" s="300"/>
      <c r="H29" s="301"/>
      <c r="I29" s="203"/>
    </row>
    <row r="30" spans="1:9" ht="15">
      <c r="A30" s="298"/>
      <c r="B30" s="299"/>
      <c r="C30" s="299"/>
      <c r="D30" s="302"/>
      <c r="E30" s="303"/>
      <c r="F30" s="300"/>
      <c r="G30" s="300"/>
      <c r="H30" s="301"/>
      <c r="I30" s="203"/>
    </row>
    <row r="31" spans="1:9" ht="15">
      <c r="A31" s="298"/>
      <c r="B31" s="299"/>
      <c r="C31" s="299"/>
      <c r="D31" s="299"/>
      <c r="E31" s="300"/>
      <c r="F31" s="300"/>
      <c r="G31" s="300"/>
      <c r="H31" s="301"/>
      <c r="I31" s="203"/>
    </row>
    <row r="32" spans="2:9" ht="15.75">
      <c r="B32" s="816" t="s">
        <v>530</v>
      </c>
      <c r="C32" s="862"/>
      <c r="D32" s="304"/>
      <c r="E32" s="305"/>
      <c r="F32" s="863"/>
      <c r="G32" s="822" t="s">
        <v>543</v>
      </c>
      <c r="H32" s="48"/>
      <c r="I32" s="41">
        <f>52164+32775+618940+13130.14+4275</f>
        <v>721284.14</v>
      </c>
    </row>
    <row r="33" spans="2:9" ht="18.75">
      <c r="B33" s="817"/>
      <c r="C33" s="819"/>
      <c r="D33" s="206"/>
      <c r="E33" s="207"/>
      <c r="F33" s="821"/>
      <c r="G33" s="817"/>
      <c r="H33" s="249"/>
      <c r="I33" s="203" t="e">
        <f>I32-I23</f>
        <v>#REF!</v>
      </c>
    </row>
    <row r="34" spans="2:9" ht="12.75">
      <c r="B34" s="128"/>
      <c r="C34" s="61"/>
      <c r="D34" s="61"/>
      <c r="E34" s="61"/>
      <c r="F34" s="61"/>
      <c r="G34" s="61"/>
      <c r="H34" s="203" t="e">
        <f>#REF!+H20+#REF!+#REF!+H23</f>
        <v>#REF!</v>
      </c>
      <c r="I34" s="41"/>
    </row>
    <row r="35" spans="2:9" ht="15.75">
      <c r="B35" s="208"/>
      <c r="C35" s="61"/>
      <c r="D35" s="61"/>
      <c r="E35" s="61"/>
      <c r="F35" s="61"/>
      <c r="G35" s="61"/>
      <c r="H35" s="203" t="e">
        <f>кредиторка!H34+'244 МЗ (3)'!F15+'244 МЗ (2)'!G31+'244 МЗ (2)'!G50+'244,247 МЗ'!G57+'244,247 МЗ'!G37+'244,247 МЗ'!G17+'290 МЗ'!G9+'290 МЗ'!G17+'НЧ ИЦ'!F16+'НЧ МЗ'!F18+'ПВ ИЦ'!H9+'ПВ МЗ'!F9+'ПВ МЗ'!F15+'ПВ МЗ'!G21+'ПВ МЗ'!G57+'ПВ МЗ'!F67+'ЗП ИЦ'!EA24+'ЗП МЗ'!K31</f>
        <v>#REF!</v>
      </c>
      <c r="I35" s="41"/>
    </row>
    <row r="36" spans="1:9" ht="31.5">
      <c r="A36" s="61"/>
      <c r="B36" s="292" t="s">
        <v>313</v>
      </c>
      <c r="C36" s="293"/>
      <c r="D36" s="293"/>
      <c r="E36" s="294" t="s">
        <v>470</v>
      </c>
      <c r="F36" s="294"/>
      <c r="G36" s="210" t="s">
        <v>470</v>
      </c>
      <c r="H36" s="203" t="e">
        <f>H34+'НЧ ИЦ'!F16+'ПВ ИЦ'!H8+'ЗП ИЦ'!EA24</f>
        <v>#REF!</v>
      </c>
      <c r="I36" s="41"/>
    </row>
    <row r="37" spans="1:9" ht="18.75">
      <c r="A37" s="61"/>
      <c r="B37" s="211"/>
      <c r="C37" s="131"/>
      <c r="D37" s="130"/>
      <c r="E37" s="132"/>
      <c r="F37" s="132"/>
      <c r="G37" s="133"/>
      <c r="H37" s="41"/>
      <c r="I37" s="41"/>
    </row>
    <row r="38" spans="1:7" ht="31.5">
      <c r="A38" s="61"/>
      <c r="B38" s="212" t="s">
        <v>195</v>
      </c>
      <c r="C38" s="152"/>
      <c r="D38" s="152"/>
      <c r="E38" s="213" t="s">
        <v>511</v>
      </c>
      <c r="F38" s="213"/>
      <c r="G38" s="210" t="s">
        <v>470</v>
      </c>
    </row>
    <row r="39" spans="1:7" ht="18.75">
      <c r="A39" s="61"/>
      <c r="B39" s="134"/>
      <c r="C39" s="131"/>
      <c r="D39" s="134"/>
      <c r="E39" s="133"/>
      <c r="F39" s="133"/>
      <c r="G39" s="133"/>
    </row>
    <row r="40" spans="1:7" ht="15.75">
      <c r="A40" s="61"/>
      <c r="B40" s="135" t="s">
        <v>467</v>
      </c>
      <c r="C40" s="130"/>
      <c r="D40" s="130"/>
      <c r="E40" s="291"/>
      <c r="F40" s="291"/>
      <c r="G40" s="130"/>
    </row>
    <row r="41" spans="1:7" ht="18.75">
      <c r="A41" s="61"/>
      <c r="C41" s="131"/>
      <c r="D41" s="130"/>
      <c r="E41" s="133"/>
      <c r="F41" s="133"/>
      <c r="G41" s="133"/>
    </row>
    <row r="42" ht="15.75">
      <c r="B42" s="135" t="s">
        <v>468</v>
      </c>
    </row>
    <row r="43" ht="15.75">
      <c r="B43" s="135"/>
    </row>
    <row r="44" ht="15.75">
      <c r="B44" s="135"/>
    </row>
    <row r="45" spans="2:7" ht="15.75">
      <c r="B45" s="136"/>
      <c r="C45" s="130"/>
      <c r="D45" s="130"/>
      <c r="E45" s="808"/>
      <c r="F45" s="808"/>
      <c r="G45" s="809"/>
    </row>
  </sheetData>
  <sheetProtection/>
  <mergeCells count="36">
    <mergeCell ref="B14:D14"/>
    <mergeCell ref="F14:G14"/>
    <mergeCell ref="A1:H1"/>
    <mergeCell ref="A3:H3"/>
    <mergeCell ref="A5:H5"/>
    <mergeCell ref="B6:D6"/>
    <mergeCell ref="B7:D7"/>
    <mergeCell ref="B8:D8"/>
    <mergeCell ref="B16:D16"/>
    <mergeCell ref="B17:D17"/>
    <mergeCell ref="B18:E18"/>
    <mergeCell ref="B15:D15"/>
    <mergeCell ref="F15:G15"/>
    <mergeCell ref="B9:D9"/>
    <mergeCell ref="B10:D10"/>
    <mergeCell ref="A12:H12"/>
    <mergeCell ref="B13:D13"/>
    <mergeCell ref="F13:G13"/>
    <mergeCell ref="B23:D23"/>
    <mergeCell ref="B32:B33"/>
    <mergeCell ref="C32:C33"/>
    <mergeCell ref="F32:F33"/>
    <mergeCell ref="G32:G33"/>
    <mergeCell ref="B19:E19"/>
    <mergeCell ref="B20:D20"/>
    <mergeCell ref="B21:D21"/>
    <mergeCell ref="B22:D22"/>
    <mergeCell ref="E45:G45"/>
    <mergeCell ref="F16:G16"/>
    <mergeCell ref="F17:G17"/>
    <mergeCell ref="F18:G18"/>
    <mergeCell ref="F19:G19"/>
    <mergeCell ref="F20:G20"/>
    <mergeCell ref="F21:G21"/>
    <mergeCell ref="F22:G22"/>
    <mergeCell ref="F23:G2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7"/>
  <sheetViews>
    <sheetView showGridLines="0" view="pageBreakPreview" zoomScaleSheetLayoutView="100" zoomScalePageLayoutView="0" workbookViewId="0" topLeftCell="A10">
      <selection activeCell="AG61" sqref="AG61"/>
    </sheetView>
  </sheetViews>
  <sheetFormatPr defaultColWidth="2" defaultRowHeight="12.75"/>
  <cols>
    <col min="1" max="32" width="2" style="0" customWidth="1"/>
    <col min="33" max="33" width="2.66015625" style="0" customWidth="1"/>
  </cols>
  <sheetData>
    <row r="1" spans="1:76" ht="15.75" customHeight="1">
      <c r="A1" s="514" t="s">
        <v>209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4"/>
    </row>
    <row r="2" spans="1:76" ht="6" customHeight="1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5" customFormat="1" ht="14.25" customHeight="1">
      <c r="A3" s="521" t="s">
        <v>164</v>
      </c>
      <c r="B3" s="521"/>
      <c r="C3" s="521"/>
      <c r="D3" s="533" t="s">
        <v>19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4"/>
      <c r="AB3" s="521" t="s">
        <v>166</v>
      </c>
      <c r="AC3" s="521"/>
      <c r="AD3" s="521"/>
      <c r="AE3" s="521"/>
      <c r="AF3" s="521" t="s">
        <v>165</v>
      </c>
      <c r="AG3" s="521"/>
      <c r="AH3" s="521"/>
      <c r="AI3" s="521"/>
      <c r="AJ3" s="541" t="s">
        <v>251</v>
      </c>
      <c r="AK3" s="542"/>
      <c r="AL3" s="542"/>
      <c r="AM3" s="542"/>
      <c r="AN3" s="542"/>
      <c r="AO3" s="542"/>
      <c r="AP3" s="543"/>
      <c r="AQ3" s="541" t="s">
        <v>252</v>
      </c>
      <c r="AR3" s="542"/>
      <c r="AS3" s="542"/>
      <c r="AT3" s="542"/>
      <c r="AU3" s="542"/>
      <c r="AV3" s="543"/>
      <c r="AW3" s="522" t="s">
        <v>21</v>
      </c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</row>
    <row r="4" spans="1:76" s="5" customFormat="1" ht="13.5" customHeight="1">
      <c r="A4" s="521"/>
      <c r="B4" s="521"/>
      <c r="C4" s="521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6"/>
      <c r="AB4" s="521"/>
      <c r="AC4" s="521"/>
      <c r="AD4" s="521"/>
      <c r="AE4" s="521"/>
      <c r="AF4" s="521"/>
      <c r="AG4" s="521"/>
      <c r="AH4" s="521"/>
      <c r="AI4" s="521"/>
      <c r="AJ4" s="544"/>
      <c r="AK4" s="528"/>
      <c r="AL4" s="528"/>
      <c r="AM4" s="528"/>
      <c r="AN4" s="528"/>
      <c r="AO4" s="528"/>
      <c r="AP4" s="545"/>
      <c r="AQ4" s="544"/>
      <c r="AR4" s="528"/>
      <c r="AS4" s="528"/>
      <c r="AT4" s="528"/>
      <c r="AU4" s="528"/>
      <c r="AV4" s="545"/>
      <c r="AW4" s="524" t="s">
        <v>22</v>
      </c>
      <c r="AX4" s="525"/>
      <c r="AY4" s="525"/>
      <c r="AZ4" s="520" t="s">
        <v>273</v>
      </c>
      <c r="BA4" s="520"/>
      <c r="BB4" s="526" t="s">
        <v>56</v>
      </c>
      <c r="BC4" s="527"/>
      <c r="BD4" s="518" t="s">
        <v>22</v>
      </c>
      <c r="BE4" s="518"/>
      <c r="BF4" s="518"/>
      <c r="BG4" s="519" t="s">
        <v>521</v>
      </c>
      <c r="BH4" s="519"/>
      <c r="BI4" s="540" t="s">
        <v>56</v>
      </c>
      <c r="BJ4" s="540"/>
      <c r="BK4" s="524" t="s">
        <v>22</v>
      </c>
      <c r="BL4" s="525"/>
      <c r="BM4" s="525"/>
      <c r="BN4" s="520" t="s">
        <v>544</v>
      </c>
      <c r="BO4" s="520"/>
      <c r="BP4" s="526" t="s">
        <v>56</v>
      </c>
      <c r="BQ4" s="527"/>
      <c r="BR4" s="528" t="s">
        <v>24</v>
      </c>
      <c r="BS4" s="528"/>
      <c r="BT4" s="528"/>
      <c r="BU4" s="528"/>
      <c r="BV4" s="528"/>
      <c r="BW4" s="528"/>
      <c r="BX4" s="528"/>
    </row>
    <row r="5" spans="1:76" s="5" customFormat="1" ht="38.25" customHeight="1">
      <c r="A5" s="521"/>
      <c r="B5" s="521"/>
      <c r="C5" s="52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2"/>
      <c r="AB5" s="521"/>
      <c r="AC5" s="521"/>
      <c r="AD5" s="521"/>
      <c r="AE5" s="521"/>
      <c r="AF5" s="521"/>
      <c r="AG5" s="521"/>
      <c r="AH5" s="521"/>
      <c r="AI5" s="521"/>
      <c r="AJ5" s="530"/>
      <c r="AK5" s="529"/>
      <c r="AL5" s="529"/>
      <c r="AM5" s="529"/>
      <c r="AN5" s="529"/>
      <c r="AO5" s="529"/>
      <c r="AP5" s="546"/>
      <c r="AQ5" s="530"/>
      <c r="AR5" s="529"/>
      <c r="AS5" s="529"/>
      <c r="AT5" s="529"/>
      <c r="AU5" s="529"/>
      <c r="AV5" s="546"/>
      <c r="AW5" s="530" t="s">
        <v>167</v>
      </c>
      <c r="AX5" s="531"/>
      <c r="AY5" s="531"/>
      <c r="AZ5" s="531"/>
      <c r="BA5" s="531"/>
      <c r="BB5" s="531"/>
      <c r="BC5" s="532"/>
      <c r="BD5" s="529" t="s">
        <v>168</v>
      </c>
      <c r="BE5" s="531"/>
      <c r="BF5" s="531"/>
      <c r="BG5" s="531"/>
      <c r="BH5" s="531"/>
      <c r="BI5" s="531"/>
      <c r="BJ5" s="531"/>
      <c r="BK5" s="530" t="s">
        <v>169</v>
      </c>
      <c r="BL5" s="531"/>
      <c r="BM5" s="531"/>
      <c r="BN5" s="531"/>
      <c r="BO5" s="531"/>
      <c r="BP5" s="531"/>
      <c r="BQ5" s="532"/>
      <c r="BR5" s="529"/>
      <c r="BS5" s="529"/>
      <c r="BT5" s="529"/>
      <c r="BU5" s="529"/>
      <c r="BV5" s="529"/>
      <c r="BW5" s="529"/>
      <c r="BX5" s="529"/>
    </row>
    <row r="6" spans="1:76" s="5" customFormat="1" ht="12.75" customHeight="1" thickBot="1">
      <c r="A6" s="517">
        <v>1</v>
      </c>
      <c r="B6" s="517"/>
      <c r="C6" s="517"/>
      <c r="D6" s="515">
        <v>2</v>
      </c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7">
        <v>3</v>
      </c>
      <c r="AC6" s="517"/>
      <c r="AD6" s="517"/>
      <c r="AE6" s="517"/>
      <c r="AF6" s="517">
        <v>4</v>
      </c>
      <c r="AG6" s="517"/>
      <c r="AH6" s="517"/>
      <c r="AI6" s="517"/>
      <c r="AJ6" s="537" t="s">
        <v>230</v>
      </c>
      <c r="AK6" s="538"/>
      <c r="AL6" s="538"/>
      <c r="AM6" s="538"/>
      <c r="AN6" s="538"/>
      <c r="AO6" s="538"/>
      <c r="AP6" s="539"/>
      <c r="AQ6" s="537" t="s">
        <v>250</v>
      </c>
      <c r="AR6" s="538"/>
      <c r="AS6" s="538"/>
      <c r="AT6" s="538"/>
      <c r="AU6" s="538"/>
      <c r="AV6" s="539"/>
      <c r="AW6" s="517">
        <v>5</v>
      </c>
      <c r="AX6" s="517"/>
      <c r="AY6" s="517"/>
      <c r="AZ6" s="517"/>
      <c r="BA6" s="517"/>
      <c r="BB6" s="517"/>
      <c r="BC6" s="517"/>
      <c r="BD6" s="517">
        <v>6</v>
      </c>
      <c r="BE6" s="517"/>
      <c r="BF6" s="517"/>
      <c r="BG6" s="517"/>
      <c r="BH6" s="517"/>
      <c r="BI6" s="517"/>
      <c r="BJ6" s="517"/>
      <c r="BK6" s="517">
        <v>7</v>
      </c>
      <c r="BL6" s="517"/>
      <c r="BM6" s="517"/>
      <c r="BN6" s="517"/>
      <c r="BO6" s="517"/>
      <c r="BP6" s="517"/>
      <c r="BQ6" s="517"/>
      <c r="BR6" s="517">
        <v>8</v>
      </c>
      <c r="BS6" s="517"/>
      <c r="BT6" s="517"/>
      <c r="BU6" s="517"/>
      <c r="BV6" s="517"/>
      <c r="BW6" s="517"/>
      <c r="BX6" s="547"/>
    </row>
    <row r="7" spans="1:76" s="5" customFormat="1" ht="12.75" customHeight="1">
      <c r="A7" s="548">
        <v>1</v>
      </c>
      <c r="B7" s="548"/>
      <c r="C7" s="548"/>
      <c r="D7" s="549" t="s">
        <v>253</v>
      </c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1">
        <v>26000</v>
      </c>
      <c r="AC7" s="552"/>
      <c r="AD7" s="552"/>
      <c r="AE7" s="552"/>
      <c r="AF7" s="553" t="s">
        <v>34</v>
      </c>
      <c r="AG7" s="553"/>
      <c r="AH7" s="553"/>
      <c r="AI7" s="553"/>
      <c r="AJ7" s="623"/>
      <c r="AK7" s="624"/>
      <c r="AL7" s="624"/>
      <c r="AM7" s="624"/>
      <c r="AN7" s="624"/>
      <c r="AO7" s="624"/>
      <c r="AP7" s="625"/>
      <c r="AQ7" s="626"/>
      <c r="AR7" s="627"/>
      <c r="AS7" s="627"/>
      <c r="AT7" s="627"/>
      <c r="AU7" s="627"/>
      <c r="AV7" s="628"/>
      <c r="AW7" s="554">
        <f>Раздел1!AW85</f>
        <v>4327534.14156</v>
      </c>
      <c r="AX7" s="554"/>
      <c r="AY7" s="554"/>
      <c r="AZ7" s="554"/>
      <c r="BA7" s="554"/>
      <c r="BB7" s="554"/>
      <c r="BC7" s="554"/>
      <c r="BD7" s="554">
        <f>Раздел1!BD85</f>
        <v>4364277</v>
      </c>
      <c r="BE7" s="554"/>
      <c r="BF7" s="554"/>
      <c r="BG7" s="554"/>
      <c r="BH7" s="554"/>
      <c r="BI7" s="554"/>
      <c r="BJ7" s="554"/>
      <c r="BK7" s="554">
        <f>Раздел1!BK85</f>
        <v>3918041</v>
      </c>
      <c r="BL7" s="554"/>
      <c r="BM7" s="554"/>
      <c r="BN7" s="554"/>
      <c r="BO7" s="554"/>
      <c r="BP7" s="554"/>
      <c r="BQ7" s="554"/>
      <c r="BR7" s="554"/>
      <c r="BS7" s="554"/>
      <c r="BT7" s="554"/>
      <c r="BU7" s="554"/>
      <c r="BV7" s="554"/>
      <c r="BW7" s="554"/>
      <c r="BX7" s="555"/>
    </row>
    <row r="8" spans="1:76" s="5" customFormat="1" ht="156.75" customHeight="1">
      <c r="A8" s="517" t="s">
        <v>170</v>
      </c>
      <c r="B8" s="517"/>
      <c r="C8" s="517"/>
      <c r="D8" s="556" t="s">
        <v>259</v>
      </c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8"/>
      <c r="AB8" s="559">
        <v>26100</v>
      </c>
      <c r="AC8" s="516"/>
      <c r="AD8" s="516"/>
      <c r="AE8" s="516"/>
      <c r="AF8" s="516" t="s">
        <v>34</v>
      </c>
      <c r="AG8" s="516"/>
      <c r="AH8" s="516"/>
      <c r="AI8" s="516"/>
      <c r="AJ8" s="574"/>
      <c r="AK8" s="575"/>
      <c r="AL8" s="575"/>
      <c r="AM8" s="575"/>
      <c r="AN8" s="575"/>
      <c r="AO8" s="575"/>
      <c r="AP8" s="576"/>
      <c r="AQ8" s="574"/>
      <c r="AR8" s="575"/>
      <c r="AS8" s="575"/>
      <c r="AT8" s="575"/>
      <c r="AU8" s="575"/>
      <c r="AV8" s="576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1"/>
    </row>
    <row r="9" spans="1:76" s="29" customFormat="1" ht="45.75" customHeight="1">
      <c r="A9" s="517" t="s">
        <v>171</v>
      </c>
      <c r="B9" s="517"/>
      <c r="C9" s="517"/>
      <c r="D9" s="562" t="s">
        <v>260</v>
      </c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59">
        <v>26200</v>
      </c>
      <c r="AC9" s="516"/>
      <c r="AD9" s="516"/>
      <c r="AE9" s="516"/>
      <c r="AF9" s="516" t="s">
        <v>34</v>
      </c>
      <c r="AG9" s="516"/>
      <c r="AH9" s="516"/>
      <c r="AI9" s="516"/>
      <c r="AJ9" s="574"/>
      <c r="AK9" s="575"/>
      <c r="AL9" s="575"/>
      <c r="AM9" s="575"/>
      <c r="AN9" s="575"/>
      <c r="AO9" s="575"/>
      <c r="AP9" s="576"/>
      <c r="AQ9" s="574"/>
      <c r="AR9" s="575"/>
      <c r="AS9" s="575"/>
      <c r="AT9" s="575"/>
      <c r="AU9" s="575"/>
      <c r="AV9" s="576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1"/>
    </row>
    <row r="10" spans="1:76" s="29" customFormat="1" ht="45.75" customHeight="1">
      <c r="A10" s="564" t="s">
        <v>172</v>
      </c>
      <c r="B10" s="564"/>
      <c r="C10" s="564"/>
      <c r="D10" s="562" t="s">
        <v>261</v>
      </c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59">
        <v>26300</v>
      </c>
      <c r="AC10" s="516"/>
      <c r="AD10" s="516"/>
      <c r="AE10" s="516"/>
      <c r="AF10" s="516" t="s">
        <v>34</v>
      </c>
      <c r="AG10" s="516"/>
      <c r="AH10" s="516"/>
      <c r="AI10" s="516"/>
      <c r="AJ10" s="574"/>
      <c r="AK10" s="575"/>
      <c r="AL10" s="575"/>
      <c r="AM10" s="575"/>
      <c r="AN10" s="575"/>
      <c r="AO10" s="575"/>
      <c r="AP10" s="576"/>
      <c r="AQ10" s="574"/>
      <c r="AR10" s="575"/>
      <c r="AS10" s="575"/>
      <c r="AT10" s="575"/>
      <c r="AU10" s="575"/>
      <c r="AV10" s="576"/>
      <c r="AW10" s="560">
        <f>'244,247 МЗ'!G16+'244,247 МЗ'!G36+'244,247 МЗ'!G56+'244 МЗ (2)'!G30+'244 МЗ (2)'!G49</f>
        <v>0</v>
      </c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560"/>
      <c r="BM10" s="560"/>
      <c r="BN10" s="560"/>
      <c r="BO10" s="560"/>
      <c r="BP10" s="560"/>
      <c r="BQ10" s="560"/>
      <c r="BR10" s="560"/>
      <c r="BS10" s="560"/>
      <c r="BT10" s="560"/>
      <c r="BU10" s="560"/>
      <c r="BV10" s="560"/>
      <c r="BW10" s="560"/>
      <c r="BX10" s="561"/>
    </row>
    <row r="11" spans="1:76" s="5" customFormat="1" ht="22.5" customHeight="1">
      <c r="A11" s="564" t="s">
        <v>231</v>
      </c>
      <c r="B11" s="564"/>
      <c r="C11" s="564"/>
      <c r="D11" s="562" t="s">
        <v>237</v>
      </c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59">
        <v>26310</v>
      </c>
      <c r="AC11" s="516"/>
      <c r="AD11" s="516"/>
      <c r="AE11" s="516"/>
      <c r="AF11" s="516" t="s">
        <v>34</v>
      </c>
      <c r="AG11" s="516"/>
      <c r="AH11" s="516"/>
      <c r="AI11" s="516"/>
      <c r="AJ11" s="574" t="s">
        <v>34</v>
      </c>
      <c r="AK11" s="575"/>
      <c r="AL11" s="575"/>
      <c r="AM11" s="575"/>
      <c r="AN11" s="575"/>
      <c r="AO11" s="575"/>
      <c r="AP11" s="576"/>
      <c r="AQ11" s="574"/>
      <c r="AR11" s="575"/>
      <c r="AS11" s="575"/>
      <c r="AT11" s="575"/>
      <c r="AU11" s="575"/>
      <c r="AV11" s="576"/>
      <c r="AW11" s="560">
        <f>AW10</f>
        <v>0</v>
      </c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1"/>
    </row>
    <row r="12" spans="1:76" s="5" customFormat="1" ht="13.5" customHeight="1" hidden="1">
      <c r="A12" s="564"/>
      <c r="B12" s="564"/>
      <c r="C12" s="564"/>
      <c r="D12" s="613" t="s">
        <v>254</v>
      </c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5"/>
      <c r="AC12" s="517"/>
      <c r="AD12" s="517"/>
      <c r="AE12" s="517"/>
      <c r="AF12" s="517"/>
      <c r="AG12" s="517"/>
      <c r="AH12" s="517"/>
      <c r="AI12" s="517"/>
      <c r="AJ12" s="629"/>
      <c r="AK12" s="630"/>
      <c r="AL12" s="630"/>
      <c r="AM12" s="630"/>
      <c r="AN12" s="630"/>
      <c r="AO12" s="630"/>
      <c r="AP12" s="631"/>
      <c r="AQ12" s="629"/>
      <c r="AR12" s="630"/>
      <c r="AS12" s="630"/>
      <c r="AT12" s="630"/>
      <c r="AU12" s="630"/>
      <c r="AV12" s="63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2"/>
    </row>
    <row r="13" spans="1:76" s="5" customFormat="1" ht="12.75" customHeight="1" hidden="1">
      <c r="A13" s="616"/>
      <c r="B13" s="616"/>
      <c r="C13" s="616"/>
      <c r="D13" s="617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587" t="s">
        <v>232</v>
      </c>
      <c r="AC13" s="588"/>
      <c r="AD13" s="588"/>
      <c r="AE13" s="588"/>
      <c r="AF13" s="588"/>
      <c r="AG13" s="588"/>
      <c r="AH13" s="588"/>
      <c r="AI13" s="588"/>
      <c r="AJ13" s="610"/>
      <c r="AK13" s="611"/>
      <c r="AL13" s="611"/>
      <c r="AM13" s="611"/>
      <c r="AN13" s="611"/>
      <c r="AO13" s="611"/>
      <c r="AP13" s="612"/>
      <c r="AQ13" s="610"/>
      <c r="AR13" s="611"/>
      <c r="AS13" s="611"/>
      <c r="AT13" s="611"/>
      <c r="AU13" s="611"/>
      <c r="AV13" s="612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  <c r="BG13" s="589"/>
      <c r="BH13" s="589"/>
      <c r="BI13" s="589"/>
      <c r="BJ13" s="589"/>
      <c r="BK13" s="589"/>
      <c r="BL13" s="589"/>
      <c r="BM13" s="589"/>
      <c r="BN13" s="589"/>
      <c r="BO13" s="589"/>
      <c r="BP13" s="589"/>
      <c r="BQ13" s="589"/>
      <c r="BR13" s="589"/>
      <c r="BS13" s="589"/>
      <c r="BT13" s="589"/>
      <c r="BU13" s="589"/>
      <c r="BV13" s="589"/>
      <c r="BW13" s="589"/>
      <c r="BX13" s="619"/>
    </row>
    <row r="14" spans="1:76" s="5" customFormat="1" ht="12.75" customHeight="1" hidden="1">
      <c r="A14" s="564"/>
      <c r="B14" s="564"/>
      <c r="C14" s="564"/>
      <c r="D14" s="613" t="s">
        <v>266</v>
      </c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5"/>
      <c r="AC14" s="517"/>
      <c r="AD14" s="517"/>
      <c r="AE14" s="517"/>
      <c r="AF14" s="517"/>
      <c r="AG14" s="517"/>
      <c r="AH14" s="517"/>
      <c r="AI14" s="517"/>
      <c r="AJ14" s="629"/>
      <c r="AK14" s="630"/>
      <c r="AL14" s="630"/>
      <c r="AM14" s="630"/>
      <c r="AN14" s="630"/>
      <c r="AO14" s="630"/>
      <c r="AP14" s="631"/>
      <c r="AQ14" s="629"/>
      <c r="AR14" s="630"/>
      <c r="AS14" s="630"/>
      <c r="AT14" s="630"/>
      <c r="AU14" s="630"/>
      <c r="AV14" s="63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2"/>
    </row>
    <row r="15" spans="1:76" s="5" customFormat="1" ht="12.75" customHeight="1" hidden="1">
      <c r="A15" s="616"/>
      <c r="B15" s="616"/>
      <c r="C15" s="616"/>
      <c r="D15" s="617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587" t="s">
        <v>267</v>
      </c>
      <c r="AC15" s="588"/>
      <c r="AD15" s="588"/>
      <c r="AE15" s="588"/>
      <c r="AF15" s="588"/>
      <c r="AG15" s="588"/>
      <c r="AH15" s="588"/>
      <c r="AI15" s="588"/>
      <c r="AJ15" s="610"/>
      <c r="AK15" s="611"/>
      <c r="AL15" s="611"/>
      <c r="AM15" s="611"/>
      <c r="AN15" s="611"/>
      <c r="AO15" s="611"/>
      <c r="AP15" s="612"/>
      <c r="AQ15" s="610"/>
      <c r="AR15" s="611"/>
      <c r="AS15" s="611"/>
      <c r="AT15" s="611"/>
      <c r="AU15" s="611"/>
      <c r="AV15" s="612"/>
      <c r="AW15" s="589"/>
      <c r="AX15" s="589"/>
      <c r="AY15" s="589"/>
      <c r="AZ15" s="589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89"/>
      <c r="BM15" s="589"/>
      <c r="BN15" s="589"/>
      <c r="BO15" s="589"/>
      <c r="BP15" s="589"/>
      <c r="BQ15" s="589"/>
      <c r="BR15" s="589"/>
      <c r="BS15" s="589"/>
      <c r="BT15" s="589"/>
      <c r="BU15" s="589"/>
      <c r="BV15" s="589"/>
      <c r="BW15" s="589"/>
      <c r="BX15" s="619"/>
    </row>
    <row r="16" spans="1:76" s="5" customFormat="1" ht="12.75" customHeight="1">
      <c r="A16" s="565" t="s">
        <v>233</v>
      </c>
      <c r="B16" s="565"/>
      <c r="C16" s="565"/>
      <c r="D16" s="562" t="s">
        <v>190</v>
      </c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59">
        <v>26320</v>
      </c>
      <c r="AC16" s="516"/>
      <c r="AD16" s="516"/>
      <c r="AE16" s="516"/>
      <c r="AF16" s="516" t="s">
        <v>34</v>
      </c>
      <c r="AG16" s="516"/>
      <c r="AH16" s="516"/>
      <c r="AI16" s="516"/>
      <c r="AJ16" s="574" t="s">
        <v>34</v>
      </c>
      <c r="AK16" s="575"/>
      <c r="AL16" s="575"/>
      <c r="AM16" s="575"/>
      <c r="AN16" s="575"/>
      <c r="AO16" s="575"/>
      <c r="AP16" s="576"/>
      <c r="AQ16" s="574"/>
      <c r="AR16" s="575"/>
      <c r="AS16" s="575"/>
      <c r="AT16" s="575"/>
      <c r="AU16" s="575"/>
      <c r="AV16" s="576"/>
      <c r="AW16" s="560"/>
      <c r="AX16" s="560"/>
      <c r="AY16" s="560"/>
      <c r="AZ16" s="560"/>
      <c r="BA16" s="560"/>
      <c r="BB16" s="560"/>
      <c r="BC16" s="560"/>
      <c r="BD16" s="560"/>
      <c r="BE16" s="560"/>
      <c r="BF16" s="560"/>
      <c r="BG16" s="560"/>
      <c r="BH16" s="560"/>
      <c r="BI16" s="560"/>
      <c r="BJ16" s="560"/>
      <c r="BK16" s="560"/>
      <c r="BL16" s="560"/>
      <c r="BM16" s="560"/>
      <c r="BN16" s="560"/>
      <c r="BO16" s="560"/>
      <c r="BP16" s="560"/>
      <c r="BQ16" s="560"/>
      <c r="BR16" s="560"/>
      <c r="BS16" s="560"/>
      <c r="BT16" s="560"/>
      <c r="BU16" s="560"/>
      <c r="BV16" s="560"/>
      <c r="BW16" s="560"/>
      <c r="BX16" s="561"/>
    </row>
    <row r="17" spans="1:76" s="5" customFormat="1" ht="45.75" customHeight="1">
      <c r="A17" s="565" t="s">
        <v>173</v>
      </c>
      <c r="B17" s="565"/>
      <c r="C17" s="565"/>
      <c r="D17" s="566" t="s">
        <v>262</v>
      </c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2"/>
      <c r="AB17" s="559">
        <v>26400</v>
      </c>
      <c r="AC17" s="516"/>
      <c r="AD17" s="516"/>
      <c r="AE17" s="516"/>
      <c r="AF17" s="516" t="s">
        <v>34</v>
      </c>
      <c r="AG17" s="516"/>
      <c r="AH17" s="516"/>
      <c r="AI17" s="516"/>
      <c r="AJ17" s="574"/>
      <c r="AK17" s="575"/>
      <c r="AL17" s="575"/>
      <c r="AM17" s="575"/>
      <c r="AN17" s="575"/>
      <c r="AO17" s="575"/>
      <c r="AP17" s="576"/>
      <c r="AQ17" s="574"/>
      <c r="AR17" s="575"/>
      <c r="AS17" s="575"/>
      <c r="AT17" s="575"/>
      <c r="AU17" s="575"/>
      <c r="AV17" s="576"/>
      <c r="AW17" s="560">
        <f>AW7-AW10</f>
        <v>4327534.14156</v>
      </c>
      <c r="AX17" s="560"/>
      <c r="AY17" s="560"/>
      <c r="AZ17" s="560"/>
      <c r="BA17" s="560"/>
      <c r="BB17" s="560"/>
      <c r="BC17" s="560"/>
      <c r="BD17" s="560">
        <f>BD7-BD10</f>
        <v>4364277</v>
      </c>
      <c r="BE17" s="560"/>
      <c r="BF17" s="560"/>
      <c r="BG17" s="560"/>
      <c r="BH17" s="560"/>
      <c r="BI17" s="560"/>
      <c r="BJ17" s="560"/>
      <c r="BK17" s="560">
        <f>BK7-BK10</f>
        <v>3918041</v>
      </c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1"/>
    </row>
    <row r="18" spans="1:76" s="5" customFormat="1" ht="45.75" customHeight="1">
      <c r="A18" s="517" t="s">
        <v>174</v>
      </c>
      <c r="B18" s="517"/>
      <c r="C18" s="517"/>
      <c r="D18" s="567" t="s">
        <v>263</v>
      </c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9"/>
      <c r="AB18" s="559">
        <v>26410</v>
      </c>
      <c r="AC18" s="516"/>
      <c r="AD18" s="516"/>
      <c r="AE18" s="516"/>
      <c r="AF18" s="516" t="s">
        <v>34</v>
      </c>
      <c r="AG18" s="516"/>
      <c r="AH18" s="516"/>
      <c r="AI18" s="516"/>
      <c r="AJ18" s="574"/>
      <c r="AK18" s="575"/>
      <c r="AL18" s="575"/>
      <c r="AM18" s="575"/>
      <c r="AN18" s="575"/>
      <c r="AO18" s="575"/>
      <c r="AP18" s="576"/>
      <c r="AQ18" s="574"/>
      <c r="AR18" s="575"/>
      <c r="AS18" s="575"/>
      <c r="AT18" s="575"/>
      <c r="AU18" s="575"/>
      <c r="AV18" s="576"/>
      <c r="AW18" s="560">
        <f>AW17-AW21</f>
        <v>3606250.0015600002</v>
      </c>
      <c r="AX18" s="560"/>
      <c r="AY18" s="560"/>
      <c r="AZ18" s="560"/>
      <c r="BA18" s="560"/>
      <c r="BB18" s="560"/>
      <c r="BC18" s="560"/>
      <c r="BD18" s="560">
        <f>BD17-BD21</f>
        <v>3673187</v>
      </c>
      <c r="BE18" s="560"/>
      <c r="BF18" s="560"/>
      <c r="BG18" s="560"/>
      <c r="BH18" s="560"/>
      <c r="BI18" s="560"/>
      <c r="BJ18" s="560"/>
      <c r="BK18" s="560">
        <f>BK17-BK21</f>
        <v>3244850</v>
      </c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1"/>
    </row>
    <row r="19" spans="1:76" s="5" customFormat="1" ht="22.5" customHeight="1">
      <c r="A19" s="517" t="s">
        <v>175</v>
      </c>
      <c r="B19" s="517"/>
      <c r="C19" s="517"/>
      <c r="D19" s="570" t="s">
        <v>189</v>
      </c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2"/>
      <c r="AB19" s="559">
        <v>26411</v>
      </c>
      <c r="AC19" s="516"/>
      <c r="AD19" s="516"/>
      <c r="AE19" s="516"/>
      <c r="AF19" s="516" t="s">
        <v>34</v>
      </c>
      <c r="AG19" s="516"/>
      <c r="AH19" s="516"/>
      <c r="AI19" s="516"/>
      <c r="AJ19" s="574"/>
      <c r="AK19" s="575"/>
      <c r="AL19" s="575"/>
      <c r="AM19" s="575"/>
      <c r="AN19" s="575"/>
      <c r="AO19" s="575"/>
      <c r="AP19" s="576"/>
      <c r="AQ19" s="574"/>
      <c r="AR19" s="575"/>
      <c r="AS19" s="575"/>
      <c r="AT19" s="575"/>
      <c r="AU19" s="575"/>
      <c r="AV19" s="576"/>
      <c r="AW19" s="560">
        <f>AW18</f>
        <v>3606250.0015600002</v>
      </c>
      <c r="AX19" s="560"/>
      <c r="AY19" s="560"/>
      <c r="AZ19" s="560"/>
      <c r="BA19" s="560"/>
      <c r="BB19" s="560"/>
      <c r="BC19" s="560"/>
      <c r="BD19" s="560">
        <f>BD18</f>
        <v>3673187</v>
      </c>
      <c r="BE19" s="560"/>
      <c r="BF19" s="560"/>
      <c r="BG19" s="560"/>
      <c r="BH19" s="560"/>
      <c r="BI19" s="560"/>
      <c r="BJ19" s="560"/>
      <c r="BK19" s="560">
        <f>BK18</f>
        <v>3244850</v>
      </c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1"/>
    </row>
    <row r="20" spans="1:76" s="5" customFormat="1" ht="12.75" customHeight="1">
      <c r="A20" s="517" t="s">
        <v>176</v>
      </c>
      <c r="B20" s="517"/>
      <c r="C20" s="517"/>
      <c r="D20" s="573" t="s">
        <v>255</v>
      </c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2"/>
      <c r="AB20" s="559">
        <v>26412</v>
      </c>
      <c r="AC20" s="516"/>
      <c r="AD20" s="516"/>
      <c r="AE20" s="516"/>
      <c r="AF20" s="516" t="s">
        <v>34</v>
      </c>
      <c r="AG20" s="516"/>
      <c r="AH20" s="516"/>
      <c r="AI20" s="516"/>
      <c r="AJ20" s="574"/>
      <c r="AK20" s="575"/>
      <c r="AL20" s="575"/>
      <c r="AM20" s="575"/>
      <c r="AN20" s="575"/>
      <c r="AO20" s="575"/>
      <c r="AP20" s="576"/>
      <c r="AQ20" s="574"/>
      <c r="AR20" s="575"/>
      <c r="AS20" s="575"/>
      <c r="AT20" s="575"/>
      <c r="AU20" s="575"/>
      <c r="AV20" s="576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0"/>
      <c r="BP20" s="560"/>
      <c r="BQ20" s="560"/>
      <c r="BR20" s="560"/>
      <c r="BS20" s="560"/>
      <c r="BT20" s="560"/>
      <c r="BU20" s="560"/>
      <c r="BV20" s="560"/>
      <c r="BW20" s="560"/>
      <c r="BX20" s="561"/>
    </row>
    <row r="21" spans="1:76" s="5" customFormat="1" ht="34.5" customHeight="1">
      <c r="A21" s="517" t="s">
        <v>177</v>
      </c>
      <c r="B21" s="517"/>
      <c r="C21" s="517"/>
      <c r="D21" s="567" t="s">
        <v>265</v>
      </c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8"/>
      <c r="AB21" s="559">
        <v>26420</v>
      </c>
      <c r="AC21" s="516"/>
      <c r="AD21" s="516"/>
      <c r="AE21" s="516"/>
      <c r="AF21" s="516" t="s">
        <v>34</v>
      </c>
      <c r="AG21" s="516"/>
      <c r="AH21" s="516"/>
      <c r="AI21" s="516"/>
      <c r="AJ21" s="574"/>
      <c r="AK21" s="575"/>
      <c r="AL21" s="575"/>
      <c r="AM21" s="575"/>
      <c r="AN21" s="575"/>
      <c r="AO21" s="575"/>
      <c r="AP21" s="576"/>
      <c r="AQ21" s="574"/>
      <c r="AR21" s="575"/>
      <c r="AS21" s="575"/>
      <c r="AT21" s="575"/>
      <c r="AU21" s="575"/>
      <c r="AV21" s="576"/>
      <c r="AW21" s="560">
        <f>'244 ИЦ'!H26+'244 ИЦ'!H31+'244 ИЦ'!H52</f>
        <v>721284.14</v>
      </c>
      <c r="AX21" s="560"/>
      <c r="AY21" s="560"/>
      <c r="AZ21" s="560"/>
      <c r="BA21" s="560"/>
      <c r="BB21" s="560"/>
      <c r="BC21" s="560"/>
      <c r="BD21" s="560">
        <v>691090</v>
      </c>
      <c r="BE21" s="560"/>
      <c r="BF21" s="560"/>
      <c r="BG21" s="560"/>
      <c r="BH21" s="560"/>
      <c r="BI21" s="560"/>
      <c r="BJ21" s="560"/>
      <c r="BK21" s="560">
        <v>673191</v>
      </c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1"/>
    </row>
    <row r="22" spans="1:76" s="5" customFormat="1" ht="22.5" customHeight="1">
      <c r="A22" s="516" t="s">
        <v>178</v>
      </c>
      <c r="B22" s="516"/>
      <c r="C22" s="516"/>
      <c r="D22" s="579" t="s">
        <v>189</v>
      </c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2"/>
      <c r="AB22" s="559">
        <v>26421</v>
      </c>
      <c r="AC22" s="516"/>
      <c r="AD22" s="516"/>
      <c r="AE22" s="516"/>
      <c r="AF22" s="516" t="s">
        <v>34</v>
      </c>
      <c r="AG22" s="516"/>
      <c r="AH22" s="516"/>
      <c r="AI22" s="516"/>
      <c r="AJ22" s="574"/>
      <c r="AK22" s="575"/>
      <c r="AL22" s="575"/>
      <c r="AM22" s="575"/>
      <c r="AN22" s="575"/>
      <c r="AO22" s="575"/>
      <c r="AP22" s="576"/>
      <c r="AQ22" s="574"/>
      <c r="AR22" s="575"/>
      <c r="AS22" s="575"/>
      <c r="AT22" s="575"/>
      <c r="AU22" s="575"/>
      <c r="AV22" s="576"/>
      <c r="AW22" s="560">
        <f>AW21</f>
        <v>721284.14</v>
      </c>
      <c r="AX22" s="560"/>
      <c r="AY22" s="560"/>
      <c r="AZ22" s="560"/>
      <c r="BA22" s="560"/>
      <c r="BB22" s="560"/>
      <c r="BC22" s="560"/>
      <c r="BD22" s="560">
        <f>BD21</f>
        <v>691090</v>
      </c>
      <c r="BE22" s="560"/>
      <c r="BF22" s="560"/>
      <c r="BG22" s="560"/>
      <c r="BH22" s="560"/>
      <c r="BI22" s="560"/>
      <c r="BJ22" s="560"/>
      <c r="BK22" s="560">
        <f>BK21</f>
        <v>673191</v>
      </c>
      <c r="BL22" s="560"/>
      <c r="BM22" s="560"/>
      <c r="BN22" s="560"/>
      <c r="BO22" s="560"/>
      <c r="BP22" s="560"/>
      <c r="BQ22" s="560"/>
      <c r="BR22" s="560"/>
      <c r="BS22" s="560"/>
      <c r="BT22" s="560"/>
      <c r="BU22" s="560"/>
      <c r="BV22" s="560"/>
      <c r="BW22" s="560"/>
      <c r="BX22" s="561"/>
    </row>
    <row r="23" spans="1:76" s="5" customFormat="1" ht="22.5" customHeight="1">
      <c r="A23" s="565"/>
      <c r="B23" s="565"/>
      <c r="C23" s="565"/>
      <c r="D23" s="596" t="s">
        <v>256</v>
      </c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7"/>
      <c r="AB23" s="559" t="s">
        <v>234</v>
      </c>
      <c r="AC23" s="516"/>
      <c r="AD23" s="516"/>
      <c r="AE23" s="516"/>
      <c r="AF23" s="516" t="s">
        <v>34</v>
      </c>
      <c r="AG23" s="516"/>
      <c r="AH23" s="516"/>
      <c r="AI23" s="516"/>
      <c r="AJ23" s="574"/>
      <c r="AK23" s="575"/>
      <c r="AL23" s="575"/>
      <c r="AM23" s="575"/>
      <c r="AN23" s="575"/>
      <c r="AO23" s="575"/>
      <c r="AP23" s="576"/>
      <c r="AQ23" s="574"/>
      <c r="AR23" s="575"/>
      <c r="AS23" s="575"/>
      <c r="AT23" s="575"/>
      <c r="AU23" s="575"/>
      <c r="AV23" s="576"/>
      <c r="AW23" s="560"/>
      <c r="AX23" s="560"/>
      <c r="AY23" s="560"/>
      <c r="AZ23" s="560"/>
      <c r="BA23" s="560"/>
      <c r="BB23" s="560"/>
      <c r="BC23" s="560"/>
      <c r="BD23" s="560"/>
      <c r="BE23" s="560"/>
      <c r="BF23" s="560"/>
      <c r="BG23" s="560"/>
      <c r="BH23" s="560"/>
      <c r="BI23" s="560"/>
      <c r="BJ23" s="560"/>
      <c r="BK23" s="560"/>
      <c r="BL23" s="560"/>
      <c r="BM23" s="560"/>
      <c r="BN23" s="560"/>
      <c r="BO23" s="560"/>
      <c r="BP23" s="560"/>
      <c r="BQ23" s="560"/>
      <c r="BR23" s="560"/>
      <c r="BS23" s="560"/>
      <c r="BT23" s="560"/>
      <c r="BU23" s="560"/>
      <c r="BV23" s="560"/>
      <c r="BW23" s="560"/>
      <c r="BX23" s="561"/>
    </row>
    <row r="24" spans="1:76" s="5" customFormat="1" ht="12.75" customHeight="1">
      <c r="A24" s="516" t="s">
        <v>179</v>
      </c>
      <c r="B24" s="516"/>
      <c r="C24" s="516"/>
      <c r="D24" s="571" t="s">
        <v>255</v>
      </c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2"/>
      <c r="AB24" s="559">
        <v>26422</v>
      </c>
      <c r="AC24" s="516"/>
      <c r="AD24" s="516"/>
      <c r="AE24" s="516"/>
      <c r="AF24" s="516" t="s">
        <v>34</v>
      </c>
      <c r="AG24" s="516"/>
      <c r="AH24" s="516"/>
      <c r="AI24" s="516"/>
      <c r="AJ24" s="574"/>
      <c r="AK24" s="575"/>
      <c r="AL24" s="575"/>
      <c r="AM24" s="575"/>
      <c r="AN24" s="575"/>
      <c r="AO24" s="575"/>
      <c r="AP24" s="576"/>
      <c r="AQ24" s="574"/>
      <c r="AR24" s="575"/>
      <c r="AS24" s="575"/>
      <c r="AT24" s="575"/>
      <c r="AU24" s="575"/>
      <c r="AV24" s="576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60"/>
      <c r="BN24" s="560"/>
      <c r="BO24" s="560"/>
      <c r="BP24" s="560"/>
      <c r="BQ24" s="560"/>
      <c r="BR24" s="560"/>
      <c r="BS24" s="560"/>
      <c r="BT24" s="560"/>
      <c r="BU24" s="560"/>
      <c r="BV24" s="560"/>
      <c r="BW24" s="560"/>
      <c r="BX24" s="561"/>
    </row>
    <row r="25" spans="1:76" s="5" customFormat="1" ht="22.5" customHeight="1" hidden="1">
      <c r="A25" s="517" t="s">
        <v>180</v>
      </c>
      <c r="B25" s="517"/>
      <c r="C25" s="517"/>
      <c r="D25" s="578" t="s">
        <v>257</v>
      </c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59">
        <v>26430</v>
      </c>
      <c r="AC25" s="516"/>
      <c r="AD25" s="516"/>
      <c r="AE25" s="516"/>
      <c r="AF25" s="516" t="s">
        <v>34</v>
      </c>
      <c r="AG25" s="516"/>
      <c r="AH25" s="516"/>
      <c r="AI25" s="516"/>
      <c r="AJ25" s="574"/>
      <c r="AK25" s="575"/>
      <c r="AL25" s="575"/>
      <c r="AM25" s="575"/>
      <c r="AN25" s="575"/>
      <c r="AO25" s="575"/>
      <c r="AP25" s="576"/>
      <c r="AQ25" s="574"/>
      <c r="AR25" s="575"/>
      <c r="AS25" s="575"/>
      <c r="AT25" s="575"/>
      <c r="AU25" s="575"/>
      <c r="AV25" s="576"/>
      <c r="AW25" s="560"/>
      <c r="AX25" s="560"/>
      <c r="AY25" s="560"/>
      <c r="AZ25" s="560"/>
      <c r="BA25" s="560"/>
      <c r="BB25" s="560"/>
      <c r="BC25" s="560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581"/>
      <c r="BV25" s="581"/>
      <c r="BW25" s="581"/>
      <c r="BX25" s="582"/>
    </row>
    <row r="26" spans="1:76" s="5" customFormat="1" ht="22.5" customHeight="1" hidden="1">
      <c r="A26" s="564"/>
      <c r="B26" s="564"/>
      <c r="C26" s="564"/>
      <c r="D26" s="620" t="s">
        <v>256</v>
      </c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15" t="s">
        <v>235</v>
      </c>
      <c r="AC26" s="517"/>
      <c r="AD26" s="517"/>
      <c r="AE26" s="517"/>
      <c r="AF26" s="517" t="s">
        <v>34</v>
      </c>
      <c r="AG26" s="517"/>
      <c r="AH26" s="517"/>
      <c r="AI26" s="517"/>
      <c r="AJ26" s="574"/>
      <c r="AK26" s="575"/>
      <c r="AL26" s="575"/>
      <c r="AM26" s="575"/>
      <c r="AN26" s="575"/>
      <c r="AO26" s="575"/>
      <c r="AP26" s="576"/>
      <c r="AQ26" s="574"/>
      <c r="AR26" s="575"/>
      <c r="AS26" s="575"/>
      <c r="AT26" s="575"/>
      <c r="AU26" s="575"/>
      <c r="AV26" s="576"/>
      <c r="AW26" s="581"/>
      <c r="AX26" s="581"/>
      <c r="AY26" s="581"/>
      <c r="AZ26" s="581"/>
      <c r="BA26" s="581"/>
      <c r="BB26" s="581"/>
      <c r="BC26" s="581"/>
      <c r="BD26" s="581"/>
      <c r="BE26" s="581"/>
      <c r="BF26" s="581"/>
      <c r="BG26" s="581"/>
      <c r="BH26" s="581"/>
      <c r="BI26" s="581"/>
      <c r="BJ26" s="581"/>
      <c r="BK26" s="581"/>
      <c r="BL26" s="581"/>
      <c r="BM26" s="581"/>
      <c r="BN26" s="581"/>
      <c r="BO26" s="581"/>
      <c r="BP26" s="581"/>
      <c r="BQ26" s="581"/>
      <c r="BR26" s="581"/>
      <c r="BS26" s="581"/>
      <c r="BT26" s="581"/>
      <c r="BU26" s="581"/>
      <c r="BV26" s="581"/>
      <c r="BW26" s="581"/>
      <c r="BX26" s="582"/>
    </row>
    <row r="27" spans="1:76" s="5" customFormat="1" ht="22.5" customHeight="1" hidden="1">
      <c r="A27" s="564"/>
      <c r="B27" s="564"/>
      <c r="C27" s="564"/>
      <c r="D27" s="620" t="s">
        <v>268</v>
      </c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15" t="s">
        <v>269</v>
      </c>
      <c r="AC27" s="517"/>
      <c r="AD27" s="517"/>
      <c r="AE27" s="517"/>
      <c r="AF27" s="517" t="s">
        <v>34</v>
      </c>
      <c r="AG27" s="517"/>
      <c r="AH27" s="517"/>
      <c r="AI27" s="517"/>
      <c r="AJ27" s="574"/>
      <c r="AK27" s="575"/>
      <c r="AL27" s="575"/>
      <c r="AM27" s="575"/>
      <c r="AN27" s="575"/>
      <c r="AO27" s="575"/>
      <c r="AP27" s="576"/>
      <c r="AQ27" s="574"/>
      <c r="AR27" s="575"/>
      <c r="AS27" s="575"/>
      <c r="AT27" s="575"/>
      <c r="AU27" s="575"/>
      <c r="AV27" s="576"/>
      <c r="AW27" s="581"/>
      <c r="AX27" s="581"/>
      <c r="AY27" s="581"/>
      <c r="AZ27" s="581"/>
      <c r="BA27" s="581"/>
      <c r="BB27" s="581"/>
      <c r="BC27" s="581"/>
      <c r="BD27" s="581"/>
      <c r="BE27" s="581"/>
      <c r="BF27" s="581"/>
      <c r="BG27" s="581"/>
      <c r="BH27" s="581"/>
      <c r="BI27" s="581"/>
      <c r="BJ27" s="581"/>
      <c r="BK27" s="581"/>
      <c r="BL27" s="581"/>
      <c r="BM27" s="581"/>
      <c r="BN27" s="581"/>
      <c r="BO27" s="581"/>
      <c r="BP27" s="581"/>
      <c r="BQ27" s="581"/>
      <c r="BR27" s="581"/>
      <c r="BS27" s="581"/>
      <c r="BT27" s="581"/>
      <c r="BU27" s="581"/>
      <c r="BV27" s="581"/>
      <c r="BW27" s="581"/>
      <c r="BX27" s="582"/>
    </row>
    <row r="28" spans="1:76" s="5" customFormat="1" ht="22.5" customHeight="1" hidden="1">
      <c r="A28" s="517" t="s">
        <v>181</v>
      </c>
      <c r="B28" s="517"/>
      <c r="C28" s="517"/>
      <c r="D28" s="567" t="s">
        <v>264</v>
      </c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8"/>
      <c r="AB28" s="559">
        <v>26440</v>
      </c>
      <c r="AC28" s="516"/>
      <c r="AD28" s="516"/>
      <c r="AE28" s="516"/>
      <c r="AF28" s="516" t="s">
        <v>34</v>
      </c>
      <c r="AG28" s="516"/>
      <c r="AH28" s="516"/>
      <c r="AI28" s="516"/>
      <c r="AJ28" s="574"/>
      <c r="AK28" s="575"/>
      <c r="AL28" s="575"/>
      <c r="AM28" s="575"/>
      <c r="AN28" s="575"/>
      <c r="AO28" s="575"/>
      <c r="AP28" s="576"/>
      <c r="AQ28" s="574"/>
      <c r="AR28" s="575"/>
      <c r="AS28" s="575"/>
      <c r="AT28" s="575"/>
      <c r="AU28" s="575"/>
      <c r="AV28" s="576"/>
      <c r="AW28" s="560"/>
      <c r="AX28" s="560"/>
      <c r="AY28" s="560"/>
      <c r="AZ28" s="560"/>
      <c r="BA28" s="560"/>
      <c r="BB28" s="560"/>
      <c r="BC28" s="560"/>
      <c r="BD28" s="581"/>
      <c r="BE28" s="581"/>
      <c r="BF28" s="581"/>
      <c r="BG28" s="581"/>
      <c r="BH28" s="581"/>
      <c r="BI28" s="581"/>
      <c r="BJ28" s="581"/>
      <c r="BK28" s="581"/>
      <c r="BL28" s="581"/>
      <c r="BM28" s="581"/>
      <c r="BN28" s="581"/>
      <c r="BO28" s="581"/>
      <c r="BP28" s="581"/>
      <c r="BQ28" s="581"/>
      <c r="BR28" s="581"/>
      <c r="BS28" s="581"/>
      <c r="BT28" s="581"/>
      <c r="BU28" s="581"/>
      <c r="BV28" s="581"/>
      <c r="BW28" s="581"/>
      <c r="BX28" s="582"/>
    </row>
    <row r="29" spans="1:76" s="5" customFormat="1" ht="22.5" customHeight="1" hidden="1">
      <c r="A29" s="517" t="s">
        <v>182</v>
      </c>
      <c r="B29" s="517"/>
      <c r="C29" s="517"/>
      <c r="D29" s="570" t="s">
        <v>189</v>
      </c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2"/>
      <c r="AB29" s="559">
        <v>26441</v>
      </c>
      <c r="AC29" s="516"/>
      <c r="AD29" s="516"/>
      <c r="AE29" s="516"/>
      <c r="AF29" s="516" t="s">
        <v>34</v>
      </c>
      <c r="AG29" s="516"/>
      <c r="AH29" s="516"/>
      <c r="AI29" s="516"/>
      <c r="AJ29" s="574"/>
      <c r="AK29" s="575"/>
      <c r="AL29" s="575"/>
      <c r="AM29" s="575"/>
      <c r="AN29" s="575"/>
      <c r="AO29" s="575"/>
      <c r="AP29" s="576"/>
      <c r="AQ29" s="574"/>
      <c r="AR29" s="575"/>
      <c r="AS29" s="575"/>
      <c r="AT29" s="575"/>
      <c r="AU29" s="575"/>
      <c r="AV29" s="576"/>
      <c r="AW29" s="560"/>
      <c r="AX29" s="560"/>
      <c r="AY29" s="560"/>
      <c r="AZ29" s="560"/>
      <c r="BA29" s="560"/>
      <c r="BB29" s="560"/>
      <c r="BC29" s="560"/>
      <c r="BD29" s="581"/>
      <c r="BE29" s="581"/>
      <c r="BF29" s="581"/>
      <c r="BG29" s="581"/>
      <c r="BH29" s="581"/>
      <c r="BI29" s="581"/>
      <c r="BJ29" s="581"/>
      <c r="BK29" s="581"/>
      <c r="BL29" s="581"/>
      <c r="BM29" s="581"/>
      <c r="BN29" s="581"/>
      <c r="BO29" s="581"/>
      <c r="BP29" s="581"/>
      <c r="BQ29" s="581"/>
      <c r="BR29" s="581"/>
      <c r="BS29" s="581"/>
      <c r="BT29" s="581"/>
      <c r="BU29" s="581"/>
      <c r="BV29" s="581"/>
      <c r="BW29" s="581"/>
      <c r="BX29" s="582"/>
    </row>
    <row r="30" spans="1:76" s="5" customFormat="1" ht="12.75" customHeight="1" hidden="1">
      <c r="A30" s="517" t="s">
        <v>183</v>
      </c>
      <c r="B30" s="517"/>
      <c r="C30" s="517"/>
      <c r="D30" s="573" t="s">
        <v>255</v>
      </c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2"/>
      <c r="AB30" s="559">
        <v>26442</v>
      </c>
      <c r="AC30" s="516"/>
      <c r="AD30" s="516"/>
      <c r="AE30" s="516"/>
      <c r="AF30" s="516" t="s">
        <v>34</v>
      </c>
      <c r="AG30" s="516"/>
      <c r="AH30" s="516"/>
      <c r="AI30" s="516"/>
      <c r="AJ30" s="574"/>
      <c r="AK30" s="575"/>
      <c r="AL30" s="575"/>
      <c r="AM30" s="575"/>
      <c r="AN30" s="575"/>
      <c r="AO30" s="575"/>
      <c r="AP30" s="576"/>
      <c r="AQ30" s="574"/>
      <c r="AR30" s="575"/>
      <c r="AS30" s="575"/>
      <c r="AT30" s="575"/>
      <c r="AU30" s="575"/>
      <c r="AV30" s="576"/>
      <c r="AW30" s="560"/>
      <c r="AX30" s="560"/>
      <c r="AY30" s="560"/>
      <c r="AZ30" s="560"/>
      <c r="BA30" s="560"/>
      <c r="BB30" s="560"/>
      <c r="BC30" s="560"/>
      <c r="BD30" s="581"/>
      <c r="BE30" s="581"/>
      <c r="BF30" s="581"/>
      <c r="BG30" s="581"/>
      <c r="BH30" s="581"/>
      <c r="BI30" s="581"/>
      <c r="BJ30" s="581"/>
      <c r="BK30" s="581"/>
      <c r="BL30" s="581"/>
      <c r="BM30" s="581"/>
      <c r="BN30" s="581"/>
      <c r="BO30" s="581"/>
      <c r="BP30" s="581"/>
      <c r="BQ30" s="581"/>
      <c r="BR30" s="581"/>
      <c r="BS30" s="581"/>
      <c r="BT30" s="581"/>
      <c r="BU30" s="581"/>
      <c r="BV30" s="581"/>
      <c r="BW30" s="581"/>
      <c r="BX30" s="582"/>
    </row>
    <row r="31" spans="1:76" s="5" customFormat="1" ht="12.75" customHeight="1" hidden="1">
      <c r="A31" s="516" t="s">
        <v>184</v>
      </c>
      <c r="B31" s="516"/>
      <c r="C31" s="516"/>
      <c r="D31" s="567" t="s">
        <v>191</v>
      </c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8"/>
      <c r="AB31" s="559">
        <v>26450</v>
      </c>
      <c r="AC31" s="516"/>
      <c r="AD31" s="516"/>
      <c r="AE31" s="516"/>
      <c r="AF31" s="516" t="s">
        <v>34</v>
      </c>
      <c r="AG31" s="516"/>
      <c r="AH31" s="516"/>
      <c r="AI31" s="516"/>
      <c r="AJ31" s="574"/>
      <c r="AK31" s="575"/>
      <c r="AL31" s="575"/>
      <c r="AM31" s="575"/>
      <c r="AN31" s="575"/>
      <c r="AO31" s="575"/>
      <c r="AP31" s="576"/>
      <c r="AQ31" s="574"/>
      <c r="AR31" s="575"/>
      <c r="AS31" s="575"/>
      <c r="AT31" s="575"/>
      <c r="AU31" s="575"/>
      <c r="AV31" s="576"/>
      <c r="AW31" s="560"/>
      <c r="AX31" s="560"/>
      <c r="AY31" s="560"/>
      <c r="AZ31" s="560"/>
      <c r="BA31" s="560"/>
      <c r="BB31" s="560"/>
      <c r="BC31" s="560"/>
      <c r="BD31" s="560"/>
      <c r="BE31" s="560"/>
      <c r="BF31" s="560"/>
      <c r="BG31" s="560"/>
      <c r="BH31" s="560"/>
      <c r="BI31" s="560"/>
      <c r="BJ31" s="560"/>
      <c r="BK31" s="560"/>
      <c r="BL31" s="560"/>
      <c r="BM31" s="560"/>
      <c r="BN31" s="560"/>
      <c r="BO31" s="560"/>
      <c r="BP31" s="560"/>
      <c r="BQ31" s="560"/>
      <c r="BR31" s="560"/>
      <c r="BS31" s="560"/>
      <c r="BT31" s="560"/>
      <c r="BU31" s="560"/>
      <c r="BV31" s="560"/>
      <c r="BW31" s="560"/>
      <c r="BX31" s="561"/>
    </row>
    <row r="32" spans="1:76" s="5" customFormat="1" ht="22.5" customHeight="1" hidden="1">
      <c r="A32" s="583" t="s">
        <v>185</v>
      </c>
      <c r="B32" s="583"/>
      <c r="C32" s="583"/>
      <c r="D32" s="584" t="s">
        <v>189</v>
      </c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5"/>
      <c r="S32" s="585"/>
      <c r="T32" s="585"/>
      <c r="U32" s="585"/>
      <c r="V32" s="585"/>
      <c r="W32" s="585"/>
      <c r="X32" s="585"/>
      <c r="Y32" s="585"/>
      <c r="Z32" s="585"/>
      <c r="AA32" s="586"/>
      <c r="AB32" s="587">
        <v>26451</v>
      </c>
      <c r="AC32" s="588"/>
      <c r="AD32" s="588"/>
      <c r="AE32" s="588"/>
      <c r="AF32" s="588" t="s">
        <v>34</v>
      </c>
      <c r="AG32" s="588"/>
      <c r="AH32" s="588"/>
      <c r="AI32" s="588"/>
      <c r="AJ32" s="574"/>
      <c r="AK32" s="575"/>
      <c r="AL32" s="575"/>
      <c r="AM32" s="575"/>
      <c r="AN32" s="575"/>
      <c r="AO32" s="575"/>
      <c r="AP32" s="576"/>
      <c r="AQ32" s="574"/>
      <c r="AR32" s="575"/>
      <c r="AS32" s="575"/>
      <c r="AT32" s="575"/>
      <c r="AU32" s="575"/>
      <c r="AV32" s="576"/>
      <c r="AW32" s="589"/>
      <c r="AX32" s="589"/>
      <c r="AY32" s="589"/>
      <c r="AZ32" s="589"/>
      <c r="BA32" s="589"/>
      <c r="BB32" s="589"/>
      <c r="BC32" s="589"/>
      <c r="BD32" s="590"/>
      <c r="BE32" s="590"/>
      <c r="BF32" s="590"/>
      <c r="BG32" s="590"/>
      <c r="BH32" s="590"/>
      <c r="BI32" s="590"/>
      <c r="BJ32" s="590"/>
      <c r="BK32" s="590"/>
      <c r="BL32" s="590"/>
      <c r="BM32" s="590"/>
      <c r="BN32" s="590"/>
      <c r="BO32" s="590"/>
      <c r="BP32" s="590"/>
      <c r="BQ32" s="590"/>
      <c r="BR32" s="590"/>
      <c r="BS32" s="590"/>
      <c r="BT32" s="590"/>
      <c r="BU32" s="590"/>
      <c r="BV32" s="590"/>
      <c r="BW32" s="590"/>
      <c r="BX32" s="591"/>
    </row>
    <row r="33" spans="1:76" s="5" customFormat="1" ht="22.5" customHeight="1" hidden="1">
      <c r="A33" s="564"/>
      <c r="B33" s="564"/>
      <c r="C33" s="564"/>
      <c r="D33" s="620" t="s">
        <v>256</v>
      </c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559" t="s">
        <v>236</v>
      </c>
      <c r="AC33" s="516"/>
      <c r="AD33" s="516"/>
      <c r="AE33" s="516"/>
      <c r="AF33" s="516" t="s">
        <v>34</v>
      </c>
      <c r="AG33" s="516"/>
      <c r="AH33" s="516"/>
      <c r="AI33" s="516"/>
      <c r="AJ33" s="574"/>
      <c r="AK33" s="575"/>
      <c r="AL33" s="575"/>
      <c r="AM33" s="575"/>
      <c r="AN33" s="575"/>
      <c r="AO33" s="575"/>
      <c r="AP33" s="576"/>
      <c r="AQ33" s="574"/>
      <c r="AR33" s="575"/>
      <c r="AS33" s="575"/>
      <c r="AT33" s="575"/>
      <c r="AU33" s="575"/>
      <c r="AV33" s="576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0"/>
      <c r="BL33" s="560"/>
      <c r="BM33" s="560"/>
      <c r="BN33" s="560"/>
      <c r="BO33" s="560"/>
      <c r="BP33" s="560"/>
      <c r="BQ33" s="560"/>
      <c r="BR33" s="560"/>
      <c r="BS33" s="560"/>
      <c r="BT33" s="560"/>
      <c r="BU33" s="560"/>
      <c r="BV33" s="560"/>
      <c r="BW33" s="560"/>
      <c r="BX33" s="561"/>
    </row>
    <row r="34" spans="1:76" s="5" customFormat="1" ht="22.5" customHeight="1" hidden="1">
      <c r="A34" s="564"/>
      <c r="B34" s="564"/>
      <c r="C34" s="564"/>
      <c r="D34" s="620" t="s">
        <v>268</v>
      </c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559" t="s">
        <v>270</v>
      </c>
      <c r="AC34" s="516"/>
      <c r="AD34" s="516"/>
      <c r="AE34" s="516"/>
      <c r="AF34" s="516" t="s">
        <v>34</v>
      </c>
      <c r="AG34" s="516"/>
      <c r="AH34" s="516"/>
      <c r="AI34" s="516"/>
      <c r="AJ34" s="574"/>
      <c r="AK34" s="575"/>
      <c r="AL34" s="575"/>
      <c r="AM34" s="575"/>
      <c r="AN34" s="575"/>
      <c r="AO34" s="575"/>
      <c r="AP34" s="576"/>
      <c r="AQ34" s="574"/>
      <c r="AR34" s="575"/>
      <c r="AS34" s="575"/>
      <c r="AT34" s="575"/>
      <c r="AU34" s="575"/>
      <c r="AV34" s="576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60"/>
      <c r="BN34" s="560"/>
      <c r="BO34" s="560"/>
      <c r="BP34" s="560"/>
      <c r="BQ34" s="560"/>
      <c r="BR34" s="560"/>
      <c r="BS34" s="560"/>
      <c r="BT34" s="560"/>
      <c r="BU34" s="560"/>
      <c r="BV34" s="560"/>
      <c r="BW34" s="560"/>
      <c r="BX34" s="561"/>
    </row>
    <row r="35" spans="1:76" s="5" customFormat="1" ht="12.75" customHeight="1" hidden="1">
      <c r="A35" s="516" t="s">
        <v>186</v>
      </c>
      <c r="B35" s="516"/>
      <c r="C35" s="516"/>
      <c r="D35" s="573" t="s">
        <v>190</v>
      </c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2"/>
      <c r="AB35" s="559">
        <v>26452</v>
      </c>
      <c r="AC35" s="516"/>
      <c r="AD35" s="516"/>
      <c r="AE35" s="516"/>
      <c r="AF35" s="516" t="s">
        <v>34</v>
      </c>
      <c r="AG35" s="516"/>
      <c r="AH35" s="516"/>
      <c r="AI35" s="516"/>
      <c r="AJ35" s="574"/>
      <c r="AK35" s="575"/>
      <c r="AL35" s="575"/>
      <c r="AM35" s="575"/>
      <c r="AN35" s="575"/>
      <c r="AO35" s="575"/>
      <c r="AP35" s="576"/>
      <c r="AQ35" s="574"/>
      <c r="AR35" s="575"/>
      <c r="AS35" s="575"/>
      <c r="AT35" s="575"/>
      <c r="AU35" s="575"/>
      <c r="AV35" s="576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0"/>
      <c r="BP35" s="560"/>
      <c r="BQ35" s="560"/>
      <c r="BR35" s="560"/>
      <c r="BS35" s="560"/>
      <c r="BT35" s="560"/>
      <c r="BU35" s="560"/>
      <c r="BV35" s="560"/>
      <c r="BW35" s="560"/>
      <c r="BX35" s="561"/>
    </row>
    <row r="36" spans="1:76" s="5" customFormat="1" ht="45.75" customHeight="1">
      <c r="A36" s="583" t="s">
        <v>187</v>
      </c>
      <c r="B36" s="583"/>
      <c r="C36" s="583"/>
      <c r="D36" s="592" t="s">
        <v>258</v>
      </c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4"/>
      <c r="AB36" s="559">
        <v>26500</v>
      </c>
      <c r="AC36" s="516"/>
      <c r="AD36" s="516"/>
      <c r="AE36" s="516"/>
      <c r="AF36" s="516" t="s">
        <v>34</v>
      </c>
      <c r="AG36" s="516"/>
      <c r="AH36" s="516"/>
      <c r="AI36" s="516"/>
      <c r="AJ36" s="574"/>
      <c r="AK36" s="575"/>
      <c r="AL36" s="575"/>
      <c r="AM36" s="575"/>
      <c r="AN36" s="575"/>
      <c r="AO36" s="575"/>
      <c r="AP36" s="576"/>
      <c r="AQ36" s="574"/>
      <c r="AR36" s="575"/>
      <c r="AS36" s="575"/>
      <c r="AT36" s="575"/>
      <c r="AU36" s="575"/>
      <c r="AV36" s="576"/>
      <c r="AW36" s="560">
        <f>AW17</f>
        <v>4327534.14156</v>
      </c>
      <c r="AX36" s="560"/>
      <c r="AY36" s="560"/>
      <c r="AZ36" s="560"/>
      <c r="BA36" s="560"/>
      <c r="BB36" s="560"/>
      <c r="BC36" s="560"/>
      <c r="BD36" s="560">
        <f>BD17</f>
        <v>4364277</v>
      </c>
      <c r="BE36" s="560"/>
      <c r="BF36" s="560"/>
      <c r="BG36" s="560"/>
      <c r="BH36" s="560"/>
      <c r="BI36" s="560"/>
      <c r="BJ36" s="560"/>
      <c r="BK36" s="560">
        <f>BK17</f>
        <v>3918041</v>
      </c>
      <c r="BL36" s="560"/>
      <c r="BM36" s="560"/>
      <c r="BN36" s="560"/>
      <c r="BO36" s="560"/>
      <c r="BP36" s="560"/>
      <c r="BQ36" s="560"/>
      <c r="BR36" s="560"/>
      <c r="BS36" s="560"/>
      <c r="BT36" s="560"/>
      <c r="BU36" s="560"/>
      <c r="BV36" s="560"/>
      <c r="BW36" s="560"/>
      <c r="BX36" s="561"/>
    </row>
    <row r="37" spans="1:76" s="5" customFormat="1" ht="12.75" customHeight="1">
      <c r="A37" s="517"/>
      <c r="B37" s="517"/>
      <c r="C37" s="517"/>
      <c r="D37" s="595" t="s">
        <v>192</v>
      </c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7"/>
      <c r="AB37" s="559">
        <v>26510</v>
      </c>
      <c r="AC37" s="516"/>
      <c r="AD37" s="516"/>
      <c r="AE37" s="516"/>
      <c r="AF37" s="516"/>
      <c r="AG37" s="516"/>
      <c r="AH37" s="516"/>
      <c r="AI37" s="516"/>
      <c r="AJ37" s="599"/>
      <c r="AK37" s="600"/>
      <c r="AL37" s="600"/>
      <c r="AM37" s="600"/>
      <c r="AN37" s="600"/>
      <c r="AO37" s="600"/>
      <c r="AP37" s="601"/>
      <c r="AQ37" s="599"/>
      <c r="AR37" s="600"/>
      <c r="AS37" s="600"/>
      <c r="AT37" s="600"/>
      <c r="AU37" s="600"/>
      <c r="AV37" s="601"/>
      <c r="AW37" s="598"/>
      <c r="AX37" s="598"/>
      <c r="AY37" s="598"/>
      <c r="AZ37" s="598"/>
      <c r="BA37" s="598"/>
      <c r="BB37" s="598"/>
      <c r="BC37" s="598"/>
      <c r="BD37" s="598"/>
      <c r="BE37" s="598"/>
      <c r="BF37" s="598"/>
      <c r="BG37" s="598"/>
      <c r="BH37" s="598"/>
      <c r="BI37" s="598"/>
      <c r="BJ37" s="598"/>
      <c r="BK37" s="598"/>
      <c r="BL37" s="598"/>
      <c r="BM37" s="598"/>
      <c r="BN37" s="598"/>
      <c r="BO37" s="598"/>
      <c r="BP37" s="598"/>
      <c r="BQ37" s="598"/>
      <c r="BR37" s="598"/>
      <c r="BS37" s="598"/>
      <c r="BT37" s="598"/>
      <c r="BU37" s="598"/>
      <c r="BV37" s="598"/>
      <c r="BW37" s="598"/>
      <c r="BX37" s="602"/>
    </row>
    <row r="38" spans="1:76" s="5" customFormat="1" ht="45.75" customHeight="1">
      <c r="A38" s="517" t="s">
        <v>188</v>
      </c>
      <c r="B38" s="517"/>
      <c r="C38" s="517"/>
      <c r="D38" s="603" t="s">
        <v>193</v>
      </c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5"/>
      <c r="AB38" s="559">
        <v>26600</v>
      </c>
      <c r="AC38" s="516"/>
      <c r="AD38" s="516"/>
      <c r="AE38" s="516"/>
      <c r="AF38" s="516" t="s">
        <v>34</v>
      </c>
      <c r="AG38" s="516"/>
      <c r="AH38" s="516"/>
      <c r="AI38" s="516"/>
      <c r="AJ38" s="599"/>
      <c r="AK38" s="600"/>
      <c r="AL38" s="600"/>
      <c r="AM38" s="600"/>
      <c r="AN38" s="600"/>
      <c r="AO38" s="600"/>
      <c r="AP38" s="601"/>
      <c r="AQ38" s="599"/>
      <c r="AR38" s="600"/>
      <c r="AS38" s="600"/>
      <c r="AT38" s="600"/>
      <c r="AU38" s="600"/>
      <c r="AV38" s="601"/>
      <c r="AW38" s="598"/>
      <c r="AX38" s="598"/>
      <c r="AY38" s="598"/>
      <c r="AZ38" s="598"/>
      <c r="BA38" s="598"/>
      <c r="BB38" s="598"/>
      <c r="BC38" s="598"/>
      <c r="BD38" s="598"/>
      <c r="BE38" s="598"/>
      <c r="BF38" s="598"/>
      <c r="BG38" s="598"/>
      <c r="BH38" s="598"/>
      <c r="BI38" s="598"/>
      <c r="BJ38" s="598"/>
      <c r="BK38" s="598"/>
      <c r="BL38" s="598"/>
      <c r="BM38" s="598"/>
      <c r="BN38" s="598"/>
      <c r="BO38" s="598"/>
      <c r="BP38" s="598"/>
      <c r="BQ38" s="598"/>
      <c r="BR38" s="598"/>
      <c r="BS38" s="598"/>
      <c r="BT38" s="598"/>
      <c r="BU38" s="598"/>
      <c r="BV38" s="598"/>
      <c r="BW38" s="598"/>
      <c r="BX38" s="602"/>
    </row>
    <row r="39" spans="1:76" s="5" customFormat="1" ht="12.75" customHeight="1" thickBot="1">
      <c r="A39" s="516"/>
      <c r="B39" s="516"/>
      <c r="C39" s="516"/>
      <c r="D39" s="603" t="s">
        <v>192</v>
      </c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5"/>
      <c r="AB39" s="608">
        <v>26610</v>
      </c>
      <c r="AC39" s="609"/>
      <c r="AD39" s="609"/>
      <c r="AE39" s="609"/>
      <c r="AF39" s="609"/>
      <c r="AG39" s="609"/>
      <c r="AH39" s="609"/>
      <c r="AI39" s="609"/>
      <c r="AJ39" s="632"/>
      <c r="AK39" s="633"/>
      <c r="AL39" s="633"/>
      <c r="AM39" s="633"/>
      <c r="AN39" s="633"/>
      <c r="AO39" s="633"/>
      <c r="AP39" s="634"/>
      <c r="AQ39" s="632"/>
      <c r="AR39" s="633"/>
      <c r="AS39" s="633"/>
      <c r="AT39" s="633"/>
      <c r="AU39" s="633"/>
      <c r="AV39" s="634"/>
      <c r="AW39" s="606"/>
      <c r="AX39" s="606"/>
      <c r="AY39" s="606"/>
      <c r="AZ39" s="606"/>
      <c r="BA39" s="606"/>
      <c r="BB39" s="606"/>
      <c r="BC39" s="606"/>
      <c r="BD39" s="606"/>
      <c r="BE39" s="606"/>
      <c r="BF39" s="606"/>
      <c r="BG39" s="606"/>
      <c r="BH39" s="606"/>
      <c r="BI39" s="606"/>
      <c r="BJ39" s="606"/>
      <c r="BK39" s="606"/>
      <c r="BL39" s="606"/>
      <c r="BM39" s="606"/>
      <c r="BN39" s="606"/>
      <c r="BO39" s="606"/>
      <c r="BP39" s="606"/>
      <c r="BQ39" s="606"/>
      <c r="BR39" s="606"/>
      <c r="BS39" s="606"/>
      <c r="BT39" s="606"/>
      <c r="BU39" s="606"/>
      <c r="BV39" s="606"/>
      <c r="BW39" s="606"/>
      <c r="BX39" s="607"/>
    </row>
    <row r="40" spans="1:76" ht="6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ht="12" customHeight="1">
      <c r="A41" s="11" t="s">
        <v>197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622" t="s">
        <v>530</v>
      </c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11"/>
      <c r="AI41" s="622"/>
      <c r="AJ41" s="622"/>
      <c r="AK41" s="622"/>
      <c r="AL41" s="622"/>
      <c r="AM41" s="622"/>
      <c r="AN41" s="622"/>
      <c r="AO41" s="622"/>
      <c r="AP41" s="622"/>
      <c r="AQ41" s="622"/>
      <c r="AR41" s="11"/>
      <c r="AS41" s="622" t="s">
        <v>540</v>
      </c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622"/>
      <c r="BI41" s="622"/>
      <c r="BJ41" s="4"/>
      <c r="BK41" s="4"/>
      <c r="BL41" s="4"/>
      <c r="BM41" s="4"/>
      <c r="BN41" s="4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1" ht="12" customHeight="1">
      <c r="A42" s="500" t="s">
        <v>196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12"/>
      <c r="V42" s="12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"/>
      <c r="AI42" s="417"/>
      <c r="AJ42" s="417"/>
      <c r="AK42" s="417"/>
      <c r="AL42" s="417"/>
      <c r="AM42" s="417"/>
      <c r="AN42" s="417"/>
      <c r="AO42" s="417"/>
      <c r="AP42" s="417"/>
      <c r="AQ42" s="417"/>
      <c r="AR42" s="13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Q42" s="6"/>
      <c r="BR42" s="6"/>
      <c r="BS42" s="6"/>
    </row>
    <row r="43" spans="23:61" s="30" customFormat="1" ht="9.75" customHeight="1">
      <c r="W43" s="501" t="s">
        <v>194</v>
      </c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I43" s="501" t="s">
        <v>53</v>
      </c>
      <c r="AJ43" s="501"/>
      <c r="AK43" s="501"/>
      <c r="AL43" s="501"/>
      <c r="AM43" s="501"/>
      <c r="AN43" s="501"/>
      <c r="AO43" s="501"/>
      <c r="AP43" s="501"/>
      <c r="AQ43" s="501"/>
      <c r="AR43" s="31"/>
      <c r="AS43" s="501" t="s">
        <v>54</v>
      </c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</row>
    <row r="44" spans="1:76" ht="3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5" customHeight="1">
      <c r="A45" s="14" t="s">
        <v>195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502" t="s">
        <v>469</v>
      </c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16"/>
      <c r="X45" s="502" t="s">
        <v>470</v>
      </c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15"/>
      <c r="AP45" s="502" t="s">
        <v>471</v>
      </c>
      <c r="AQ45" s="502"/>
      <c r="AR45" s="502"/>
      <c r="AS45" s="502"/>
      <c r="AT45" s="502"/>
      <c r="AU45" s="502"/>
      <c r="AV45" s="502"/>
      <c r="AW45" s="502"/>
      <c r="AX45" s="502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50" s="30" customFormat="1" ht="9.75" customHeight="1">
      <c r="A46" s="32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501" t="s">
        <v>194</v>
      </c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X46" s="501" t="s">
        <v>198</v>
      </c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P46" s="501" t="s">
        <v>199</v>
      </c>
      <c r="AQ46" s="501"/>
      <c r="AR46" s="501"/>
      <c r="AS46" s="501"/>
      <c r="AT46" s="501"/>
      <c r="AU46" s="501"/>
      <c r="AV46" s="501"/>
      <c r="AW46" s="501"/>
      <c r="AX46" s="501"/>
    </row>
    <row r="47" spans="1:76" ht="3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76" ht="23.25" customHeight="1">
      <c r="A48" t="s">
        <v>55</v>
      </c>
      <c r="B48" s="416" t="s">
        <v>550</v>
      </c>
      <c r="C48" s="391"/>
      <c r="D48" t="s">
        <v>55</v>
      </c>
      <c r="E48" s="417" t="s">
        <v>551</v>
      </c>
      <c r="F48" s="418"/>
      <c r="G48" s="418"/>
      <c r="H48" s="418"/>
      <c r="I48" s="418"/>
      <c r="J48" s="418"/>
      <c r="K48" s="418"/>
      <c r="L48" s="418"/>
      <c r="M48" s="415">
        <v>20</v>
      </c>
      <c r="N48" s="415"/>
      <c r="O48" s="416" t="s">
        <v>273</v>
      </c>
      <c r="P48" s="391"/>
      <c r="Q48" t="s">
        <v>56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ht="7.5" customHeight="1" hidden="1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3" ht="15.75" customHeight="1" hidden="1">
      <c r="A50" s="17" t="s">
        <v>200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9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5" customHeight="1" hidden="1">
      <c r="A51" s="503"/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5"/>
      <c r="BQ51" s="6"/>
      <c r="BR51" s="6"/>
      <c r="BS51" s="6"/>
      <c r="BT51" s="6"/>
      <c r="BU51" s="6"/>
    </row>
    <row r="52" spans="1:77" s="30" customFormat="1" ht="9.75" customHeight="1" hidden="1">
      <c r="A52" s="506" t="s">
        <v>201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8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ht="15" customHeight="1" hidden="1">
      <c r="A53" s="509"/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10"/>
      <c r="S53" s="10"/>
      <c r="T53" s="10"/>
      <c r="U53" s="10"/>
      <c r="V53" s="10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512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10"/>
      <c r="BU53" s="10"/>
      <c r="BV53" s="10"/>
      <c r="BW53" s="10"/>
      <c r="BX53" s="10"/>
      <c r="BY53" s="1"/>
    </row>
    <row r="54" spans="1:77" s="30" customFormat="1" ht="9.75" customHeight="1" hidden="1">
      <c r="A54" s="511" t="s">
        <v>53</v>
      </c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32"/>
      <c r="S54" s="32"/>
      <c r="T54" s="32"/>
      <c r="U54" s="32"/>
      <c r="V54" s="32"/>
      <c r="W54" s="501" t="s">
        <v>54</v>
      </c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13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32"/>
      <c r="BU54" s="32"/>
      <c r="BV54" s="32"/>
      <c r="BW54" s="32"/>
      <c r="BX54" s="32"/>
      <c r="BY54" s="32"/>
    </row>
    <row r="55" spans="1:76" ht="12.75" customHeight="1" hidden="1">
      <c r="A55" s="21" t="s">
        <v>55</v>
      </c>
      <c r="B55" s="391"/>
      <c r="C55" s="391"/>
      <c r="D55" s="1" t="s">
        <v>55</v>
      </c>
      <c r="E55" s="391"/>
      <c r="F55" s="391"/>
      <c r="G55" s="391"/>
      <c r="H55" s="391"/>
      <c r="I55" s="391"/>
      <c r="J55" s="391"/>
      <c r="K55" s="391"/>
      <c r="L55" s="391"/>
      <c r="M55" s="310">
        <v>20</v>
      </c>
      <c r="N55" s="310"/>
      <c r="O55" s="391"/>
      <c r="P55" s="391"/>
      <c r="Q55" s="1" t="s">
        <v>56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20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spans="1:76" ht="5.25" customHeight="1" hidden="1" thickBo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4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</row>
    <row r="57" spans="1:76" ht="9" customHeight="1" hidden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</sheetData>
  <sheetProtection/>
  <mergeCells count="388">
    <mergeCell ref="BR27:BX27"/>
    <mergeCell ref="A34:C34"/>
    <mergeCell ref="D34:AA34"/>
    <mergeCell ref="AB34:AE34"/>
    <mergeCell ref="AF34:AI34"/>
    <mergeCell ref="AJ34:AP34"/>
    <mergeCell ref="AQ34:AV34"/>
    <mergeCell ref="AW34:BC34"/>
    <mergeCell ref="BD34:BJ34"/>
    <mergeCell ref="BK34:BQ34"/>
    <mergeCell ref="BR15:BX15"/>
    <mergeCell ref="A27:C27"/>
    <mergeCell ref="D27:AA27"/>
    <mergeCell ref="AB27:AE27"/>
    <mergeCell ref="AF27:AI27"/>
    <mergeCell ref="AJ27:AP27"/>
    <mergeCell ref="AQ27:AV27"/>
    <mergeCell ref="BR34:BX34"/>
    <mergeCell ref="BD27:BJ27"/>
    <mergeCell ref="BK27:BQ27"/>
    <mergeCell ref="AQ15:AV15"/>
    <mergeCell ref="AW15:BC15"/>
    <mergeCell ref="BD15:BJ15"/>
    <mergeCell ref="BK15:BQ15"/>
    <mergeCell ref="AW16:BC16"/>
    <mergeCell ref="A14:C14"/>
    <mergeCell ref="D14:AA14"/>
    <mergeCell ref="AB14:AE14"/>
    <mergeCell ref="AF14:AI14"/>
    <mergeCell ref="AJ19:AP19"/>
    <mergeCell ref="AQ19:AV19"/>
    <mergeCell ref="A15:C15"/>
    <mergeCell ref="D15:AA15"/>
    <mergeCell ref="AB15:AE15"/>
    <mergeCell ref="AF15:AI15"/>
    <mergeCell ref="AJ16:AP16"/>
    <mergeCell ref="AQ16:AV16"/>
    <mergeCell ref="AJ14:AP14"/>
    <mergeCell ref="AQ14:AV14"/>
    <mergeCell ref="AJ38:AP38"/>
    <mergeCell ref="AQ38:AV38"/>
    <mergeCell ref="AJ7:AP7"/>
    <mergeCell ref="AJ8:AP8"/>
    <mergeCell ref="AQ9:AV9"/>
    <mergeCell ref="AQ7:AV7"/>
    <mergeCell ref="AQ8:AV8"/>
    <mergeCell ref="AQ10:AV10"/>
    <mergeCell ref="W41:AG42"/>
    <mergeCell ref="AI41:AQ42"/>
    <mergeCell ref="AS41:BI42"/>
    <mergeCell ref="AW33:BC33"/>
    <mergeCell ref="BD33:BJ33"/>
    <mergeCell ref="AW39:BC39"/>
    <mergeCell ref="AQ35:AV35"/>
    <mergeCell ref="AJ36:AP36"/>
    <mergeCell ref="AQ36:AV36"/>
    <mergeCell ref="AJ37:AP37"/>
    <mergeCell ref="A33:C33"/>
    <mergeCell ref="D33:AA33"/>
    <mergeCell ref="AB33:AE33"/>
    <mergeCell ref="AF33:AI33"/>
    <mergeCell ref="AJ33:AP33"/>
    <mergeCell ref="AQ33:AV33"/>
    <mergeCell ref="BD26:BJ26"/>
    <mergeCell ref="BK26:BQ26"/>
    <mergeCell ref="BR26:BX26"/>
    <mergeCell ref="AW23:BC23"/>
    <mergeCell ref="BK33:BQ33"/>
    <mergeCell ref="BR33:BX33"/>
    <mergeCell ref="BD23:BJ23"/>
    <mergeCell ref="BK23:BQ23"/>
    <mergeCell ref="AW27:BC27"/>
    <mergeCell ref="BK31:BQ31"/>
    <mergeCell ref="A23:C23"/>
    <mergeCell ref="D23:AA23"/>
    <mergeCell ref="AB23:AE23"/>
    <mergeCell ref="AF23:AI23"/>
    <mergeCell ref="BR23:BX23"/>
    <mergeCell ref="A26:C26"/>
    <mergeCell ref="D26:AA26"/>
    <mergeCell ref="AB26:AE26"/>
    <mergeCell ref="AF26:AI26"/>
    <mergeCell ref="AW26:BC26"/>
    <mergeCell ref="BD13:BJ13"/>
    <mergeCell ref="BK13:BQ13"/>
    <mergeCell ref="BR13:BX13"/>
    <mergeCell ref="AQ13:AV13"/>
    <mergeCell ref="AJ23:AP23"/>
    <mergeCell ref="AQ23:AV23"/>
    <mergeCell ref="AW14:BC14"/>
    <mergeCell ref="BD14:BJ14"/>
    <mergeCell ref="BK14:BQ14"/>
    <mergeCell ref="BR14:BX14"/>
    <mergeCell ref="A12:C12"/>
    <mergeCell ref="D12:AA12"/>
    <mergeCell ref="AB12:AE12"/>
    <mergeCell ref="AF12:AI12"/>
    <mergeCell ref="BR12:BX12"/>
    <mergeCell ref="A13:C13"/>
    <mergeCell ref="D13:AA13"/>
    <mergeCell ref="AB13:AE13"/>
    <mergeCell ref="AF13:AI13"/>
    <mergeCell ref="AW13:BC13"/>
    <mergeCell ref="AW11:BC11"/>
    <mergeCell ref="BD11:BJ11"/>
    <mergeCell ref="BK11:BQ11"/>
    <mergeCell ref="BR11:BX11"/>
    <mergeCell ref="BD16:BJ16"/>
    <mergeCell ref="BK16:BQ16"/>
    <mergeCell ref="BR16:BX16"/>
    <mergeCell ref="AW12:BC12"/>
    <mergeCell ref="BD12:BJ12"/>
    <mergeCell ref="BK12:BQ12"/>
    <mergeCell ref="AJ32:AP32"/>
    <mergeCell ref="AQ32:AV32"/>
    <mergeCell ref="A11:C11"/>
    <mergeCell ref="D11:AA11"/>
    <mergeCell ref="AB11:AE11"/>
    <mergeCell ref="AF11:AI11"/>
    <mergeCell ref="A16:C16"/>
    <mergeCell ref="D16:AA16"/>
    <mergeCell ref="AB16:AE16"/>
    <mergeCell ref="AF16:AI16"/>
    <mergeCell ref="AJ21:AP21"/>
    <mergeCell ref="AQ21:AV21"/>
    <mergeCell ref="AQ28:AV28"/>
    <mergeCell ref="AJ31:AP31"/>
    <mergeCell ref="AQ31:AV31"/>
    <mergeCell ref="AJ29:AP29"/>
    <mergeCell ref="AQ29:AV29"/>
    <mergeCell ref="AJ30:AP30"/>
    <mergeCell ref="AQ30:AV30"/>
    <mergeCell ref="AJ9:AP9"/>
    <mergeCell ref="AJ10:AP10"/>
    <mergeCell ref="AJ13:AP13"/>
    <mergeCell ref="AJ17:AP17"/>
    <mergeCell ref="AJ20:AP20"/>
    <mergeCell ref="AQ17:AV17"/>
    <mergeCell ref="AJ11:AP11"/>
    <mergeCell ref="AQ11:AV11"/>
    <mergeCell ref="AJ12:AP12"/>
    <mergeCell ref="AQ12:AV12"/>
    <mergeCell ref="AJ15:AP15"/>
    <mergeCell ref="BD39:BJ39"/>
    <mergeCell ref="AJ35:AP35"/>
    <mergeCell ref="AJ24:AP24"/>
    <mergeCell ref="AQ24:AV24"/>
    <mergeCell ref="AJ25:AP25"/>
    <mergeCell ref="BD29:BJ29"/>
    <mergeCell ref="AJ26:AP26"/>
    <mergeCell ref="AQ26:AV26"/>
    <mergeCell ref="AJ28:AP28"/>
    <mergeCell ref="BK39:BQ39"/>
    <mergeCell ref="BR39:BX39"/>
    <mergeCell ref="A39:C39"/>
    <mergeCell ref="D39:AA39"/>
    <mergeCell ref="AB39:AE39"/>
    <mergeCell ref="AF39:AI39"/>
    <mergeCell ref="AJ39:AP39"/>
    <mergeCell ref="AQ39:AV39"/>
    <mergeCell ref="BK37:BQ37"/>
    <mergeCell ref="BR37:BX37"/>
    <mergeCell ref="A38:C38"/>
    <mergeCell ref="D38:AA38"/>
    <mergeCell ref="AB38:AE38"/>
    <mergeCell ref="AF38:AI38"/>
    <mergeCell ref="AW38:BC38"/>
    <mergeCell ref="BD38:BJ38"/>
    <mergeCell ref="BK38:BQ38"/>
    <mergeCell ref="BR38:BX38"/>
    <mergeCell ref="A37:C37"/>
    <mergeCell ref="D37:AA37"/>
    <mergeCell ref="AB37:AE37"/>
    <mergeCell ref="AF37:AI37"/>
    <mergeCell ref="AW37:BC37"/>
    <mergeCell ref="BD37:BJ37"/>
    <mergeCell ref="AQ37:AV37"/>
    <mergeCell ref="BK35:BQ35"/>
    <mergeCell ref="BR35:BX35"/>
    <mergeCell ref="A36:C36"/>
    <mergeCell ref="D36:AA36"/>
    <mergeCell ref="AB36:AE36"/>
    <mergeCell ref="AF36:AI36"/>
    <mergeCell ref="AW36:BC36"/>
    <mergeCell ref="BD36:BJ36"/>
    <mergeCell ref="BK36:BQ36"/>
    <mergeCell ref="BR36:BX36"/>
    <mergeCell ref="A35:C35"/>
    <mergeCell ref="D35:AA35"/>
    <mergeCell ref="AB35:AE35"/>
    <mergeCell ref="AF35:AI35"/>
    <mergeCell ref="AW35:BC35"/>
    <mergeCell ref="BD35:BJ35"/>
    <mergeCell ref="BR31:BX31"/>
    <mergeCell ref="A32:C32"/>
    <mergeCell ref="D32:AA32"/>
    <mergeCell ref="AB32:AE32"/>
    <mergeCell ref="AF32:AI32"/>
    <mergeCell ref="AW32:BC32"/>
    <mergeCell ref="BD32:BJ32"/>
    <mergeCell ref="BK32:BQ32"/>
    <mergeCell ref="BR32:BX32"/>
    <mergeCell ref="A31:C31"/>
    <mergeCell ref="D31:AA31"/>
    <mergeCell ref="AB31:AE31"/>
    <mergeCell ref="AF31:AI31"/>
    <mergeCell ref="AW31:BC31"/>
    <mergeCell ref="BD31:BJ31"/>
    <mergeCell ref="BK29:BQ29"/>
    <mergeCell ref="D29:AA29"/>
    <mergeCell ref="AB29:AE29"/>
    <mergeCell ref="AF29:AI29"/>
    <mergeCell ref="AW29:BC29"/>
    <mergeCell ref="BR29:BX29"/>
    <mergeCell ref="A30:C30"/>
    <mergeCell ref="D30:AA30"/>
    <mergeCell ref="AB30:AE30"/>
    <mergeCell ref="AF30:AI30"/>
    <mergeCell ref="AW30:BC30"/>
    <mergeCell ref="BD30:BJ30"/>
    <mergeCell ref="BK30:BQ30"/>
    <mergeCell ref="BR30:BX30"/>
    <mergeCell ref="A29:C29"/>
    <mergeCell ref="BK25:BQ25"/>
    <mergeCell ref="BR25:BX25"/>
    <mergeCell ref="A28:C28"/>
    <mergeCell ref="D28:AA28"/>
    <mergeCell ref="AB28:AE28"/>
    <mergeCell ref="AF28:AI28"/>
    <mergeCell ref="AW28:BC28"/>
    <mergeCell ref="BD28:BJ28"/>
    <mergeCell ref="BK28:BQ28"/>
    <mergeCell ref="BR28:BX28"/>
    <mergeCell ref="A25:C25"/>
    <mergeCell ref="D25:AA25"/>
    <mergeCell ref="AB25:AE25"/>
    <mergeCell ref="AF25:AI25"/>
    <mergeCell ref="AW25:BC25"/>
    <mergeCell ref="BD25:BJ25"/>
    <mergeCell ref="AQ25:AV25"/>
    <mergeCell ref="BK22:BQ22"/>
    <mergeCell ref="BR22:BX22"/>
    <mergeCell ref="A24:C24"/>
    <mergeCell ref="D24:AA24"/>
    <mergeCell ref="AB24:AE24"/>
    <mergeCell ref="AF24:AI24"/>
    <mergeCell ref="AW24:BC24"/>
    <mergeCell ref="BD24:BJ24"/>
    <mergeCell ref="BK24:BQ24"/>
    <mergeCell ref="BR24:BX24"/>
    <mergeCell ref="A22:C22"/>
    <mergeCell ref="D22:AA22"/>
    <mergeCell ref="AB22:AE22"/>
    <mergeCell ref="AF22:AI22"/>
    <mergeCell ref="AW22:BC22"/>
    <mergeCell ref="BD22:BJ22"/>
    <mergeCell ref="AQ22:AV22"/>
    <mergeCell ref="AJ22:AP22"/>
    <mergeCell ref="BK20:BQ20"/>
    <mergeCell ref="BR20:BX20"/>
    <mergeCell ref="A21:C21"/>
    <mergeCell ref="D21:AA21"/>
    <mergeCell ref="AB21:AE21"/>
    <mergeCell ref="AF21:AI21"/>
    <mergeCell ref="AW21:BC21"/>
    <mergeCell ref="BD21:BJ21"/>
    <mergeCell ref="BK21:BQ21"/>
    <mergeCell ref="BR21:BX21"/>
    <mergeCell ref="A20:C20"/>
    <mergeCell ref="D20:AA20"/>
    <mergeCell ref="AB20:AE20"/>
    <mergeCell ref="AF20:AI20"/>
    <mergeCell ref="AW20:BC20"/>
    <mergeCell ref="BD20:BJ20"/>
    <mergeCell ref="AQ20:AV20"/>
    <mergeCell ref="BK18:BQ18"/>
    <mergeCell ref="BR18:BX18"/>
    <mergeCell ref="A19:C19"/>
    <mergeCell ref="D19:AA19"/>
    <mergeCell ref="AB19:AE19"/>
    <mergeCell ref="AF19:AI19"/>
    <mergeCell ref="AW19:BC19"/>
    <mergeCell ref="BD19:BJ19"/>
    <mergeCell ref="BK19:BQ19"/>
    <mergeCell ref="BR19:BX19"/>
    <mergeCell ref="A18:C18"/>
    <mergeCell ref="D18:AA18"/>
    <mergeCell ref="AB18:AE18"/>
    <mergeCell ref="AF18:AI18"/>
    <mergeCell ref="AW18:BC18"/>
    <mergeCell ref="BD18:BJ18"/>
    <mergeCell ref="AJ18:AP18"/>
    <mergeCell ref="AQ18:AV18"/>
    <mergeCell ref="BK10:BQ10"/>
    <mergeCell ref="BR10:BX10"/>
    <mergeCell ref="A17:C17"/>
    <mergeCell ref="D17:AA17"/>
    <mergeCell ref="AB17:AE17"/>
    <mergeCell ref="AF17:AI17"/>
    <mergeCell ref="AW17:BC17"/>
    <mergeCell ref="BD17:BJ17"/>
    <mergeCell ref="BK17:BQ17"/>
    <mergeCell ref="BR17:BX17"/>
    <mergeCell ref="A10:C10"/>
    <mergeCell ref="D10:AA10"/>
    <mergeCell ref="AB10:AE10"/>
    <mergeCell ref="AF10:AI10"/>
    <mergeCell ref="AW10:BC10"/>
    <mergeCell ref="BD10:BJ10"/>
    <mergeCell ref="BK8:BQ8"/>
    <mergeCell ref="BR8:BX8"/>
    <mergeCell ref="A9:C9"/>
    <mergeCell ref="D9:AA9"/>
    <mergeCell ref="AB9:AE9"/>
    <mergeCell ref="AF9:AI9"/>
    <mergeCell ref="AW9:BC9"/>
    <mergeCell ref="BD9:BJ9"/>
    <mergeCell ref="BK9:BQ9"/>
    <mergeCell ref="BR9:BX9"/>
    <mergeCell ref="A8:C8"/>
    <mergeCell ref="D8:AA8"/>
    <mergeCell ref="AB8:AE8"/>
    <mergeCell ref="AF8:AI8"/>
    <mergeCell ref="AW8:BC8"/>
    <mergeCell ref="BD8:BJ8"/>
    <mergeCell ref="BR6:BX6"/>
    <mergeCell ref="A7:C7"/>
    <mergeCell ref="D7:AA7"/>
    <mergeCell ref="AB7:AE7"/>
    <mergeCell ref="AF7:AI7"/>
    <mergeCell ref="AW7:BC7"/>
    <mergeCell ref="BD7:BJ7"/>
    <mergeCell ref="BK7:BQ7"/>
    <mergeCell ref="BR7:BX7"/>
    <mergeCell ref="AF6:AI6"/>
    <mergeCell ref="A3:C5"/>
    <mergeCell ref="A6:C6"/>
    <mergeCell ref="D3:AA5"/>
    <mergeCell ref="AB3:AE5"/>
    <mergeCell ref="AQ6:AV6"/>
    <mergeCell ref="BI4:BJ4"/>
    <mergeCell ref="AJ3:AP5"/>
    <mergeCell ref="AJ6:AP6"/>
    <mergeCell ref="AQ3:AV5"/>
    <mergeCell ref="AW3:BX3"/>
    <mergeCell ref="AW4:AY4"/>
    <mergeCell ref="AZ4:BA4"/>
    <mergeCell ref="BB4:BC4"/>
    <mergeCell ref="BP4:BQ4"/>
    <mergeCell ref="BR4:BX5"/>
    <mergeCell ref="AW5:BC5"/>
    <mergeCell ref="BD5:BJ5"/>
    <mergeCell ref="BK5:BQ5"/>
    <mergeCell ref="BK4:BM4"/>
    <mergeCell ref="A1:BX1"/>
    <mergeCell ref="D6:AA6"/>
    <mergeCell ref="AB6:AE6"/>
    <mergeCell ref="AW6:BC6"/>
    <mergeCell ref="BD6:BJ6"/>
    <mergeCell ref="BK6:BQ6"/>
    <mergeCell ref="BD4:BF4"/>
    <mergeCell ref="BG4:BH4"/>
    <mergeCell ref="BN4:BO4"/>
    <mergeCell ref="AF3:AI5"/>
    <mergeCell ref="A53:Q53"/>
    <mergeCell ref="A54:Q54"/>
    <mergeCell ref="W53:AV53"/>
    <mergeCell ref="W54:AV54"/>
    <mergeCell ref="B55:C55"/>
    <mergeCell ref="E55:L55"/>
    <mergeCell ref="M55:N55"/>
    <mergeCell ref="O55:P55"/>
    <mergeCell ref="A51:AV51"/>
    <mergeCell ref="A52:AV52"/>
    <mergeCell ref="B48:C48"/>
    <mergeCell ref="E48:L48"/>
    <mergeCell ref="M48:N48"/>
    <mergeCell ref="O48:P48"/>
    <mergeCell ref="A42:T42"/>
    <mergeCell ref="AS43:BI43"/>
    <mergeCell ref="X45:AN45"/>
    <mergeCell ref="X46:AN46"/>
    <mergeCell ref="W43:AG43"/>
    <mergeCell ref="AI43:AQ43"/>
    <mergeCell ref="AP45:AX45"/>
    <mergeCell ref="AP46:AX46"/>
    <mergeCell ref="L45:V45"/>
    <mergeCell ref="L46:V46"/>
  </mergeCell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portrait" paperSize="9" scale="68" r:id="rId1"/>
  <rowBreaks count="1" manualBreakCount="1">
    <brk id="36" max="76" man="1"/>
  </rowBreaks>
  <colBreaks count="1" manualBreakCount="1">
    <brk id="8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N14" sqref="N14"/>
    </sheetView>
  </sheetViews>
  <sheetFormatPr defaultColWidth="9.33203125" defaultRowHeight="12.75"/>
  <cols>
    <col min="1" max="1" width="9.33203125" style="35" customWidth="1"/>
    <col min="2" max="2" width="17.5" style="35" customWidth="1"/>
    <col min="3" max="3" width="9.33203125" style="35" customWidth="1"/>
    <col min="4" max="4" width="16.16015625" style="35" customWidth="1"/>
    <col min="5" max="5" width="18.83203125" style="35" customWidth="1"/>
    <col min="6" max="7" width="11.66015625" style="35" customWidth="1"/>
    <col min="8" max="9" width="11" style="35" customWidth="1"/>
    <col min="10" max="10" width="14.33203125" style="35" customWidth="1"/>
    <col min="11" max="11" width="14.83203125" style="35" customWidth="1"/>
    <col min="12" max="12" width="14.5" style="35" customWidth="1"/>
    <col min="13" max="13" width="13.33203125" style="35" bestFit="1" customWidth="1"/>
    <col min="14" max="14" width="11.66015625" style="35" bestFit="1" customWidth="1"/>
    <col min="15" max="16384" width="9.33203125" style="35" customWidth="1"/>
  </cols>
  <sheetData>
    <row r="1" spans="1:11" ht="14.25">
      <c r="A1" s="637" t="s">
        <v>281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9" ht="14.25">
      <c r="A2" s="638" t="s">
        <v>282</v>
      </c>
      <c r="B2" s="638"/>
      <c r="C2" s="638"/>
      <c r="D2" s="638"/>
      <c r="E2" s="638"/>
      <c r="F2" s="638"/>
      <c r="G2" s="638"/>
      <c r="H2" s="638"/>
      <c r="I2" s="288"/>
    </row>
    <row r="3" spans="1:9" ht="14.25">
      <c r="A3" s="36" t="s">
        <v>283</v>
      </c>
      <c r="B3" s="36"/>
      <c r="C3" s="37">
        <v>111</v>
      </c>
      <c r="D3" s="36"/>
      <c r="E3" s="36"/>
      <c r="F3" s="36"/>
      <c r="G3" s="36"/>
      <c r="H3" s="36"/>
      <c r="I3" s="36"/>
    </row>
    <row r="4" spans="1:11" ht="46.5" customHeight="1">
      <c r="A4" s="639" t="s">
        <v>284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</row>
    <row r="5" spans="1:9" ht="14.25">
      <c r="A5" s="638" t="s">
        <v>285</v>
      </c>
      <c r="B5" s="638"/>
      <c r="C5" s="638"/>
      <c r="D5" s="638"/>
      <c r="E5" s="638"/>
      <c r="F5" s="638"/>
      <c r="G5" s="638"/>
      <c r="H5" s="638"/>
      <c r="I5" s="288"/>
    </row>
    <row r="6" spans="1:12" ht="15">
      <c r="A6" s="641" t="s">
        <v>286</v>
      </c>
      <c r="B6" s="641" t="s">
        <v>287</v>
      </c>
      <c r="C6" s="641" t="s">
        <v>288</v>
      </c>
      <c r="D6" s="642" t="s">
        <v>289</v>
      </c>
      <c r="E6" s="643"/>
      <c r="F6" s="643"/>
      <c r="G6" s="644"/>
      <c r="H6" s="645" t="s">
        <v>290</v>
      </c>
      <c r="I6" s="647" t="s">
        <v>499</v>
      </c>
      <c r="J6" s="645" t="s">
        <v>291</v>
      </c>
      <c r="K6" s="645" t="s">
        <v>292</v>
      </c>
      <c r="L6" s="48"/>
    </row>
    <row r="7" spans="1:12" ht="15">
      <c r="A7" s="641"/>
      <c r="B7" s="641"/>
      <c r="C7" s="641"/>
      <c r="D7" s="641" t="s">
        <v>293</v>
      </c>
      <c r="E7" s="646" t="s">
        <v>29</v>
      </c>
      <c r="F7" s="646"/>
      <c r="G7" s="646"/>
      <c r="H7" s="645"/>
      <c r="I7" s="648"/>
      <c r="J7" s="645"/>
      <c r="K7" s="645"/>
      <c r="L7" s="48"/>
    </row>
    <row r="8" spans="1:12" ht="75">
      <c r="A8" s="641"/>
      <c r="B8" s="641"/>
      <c r="C8" s="641"/>
      <c r="D8" s="641"/>
      <c r="E8" s="38" t="s">
        <v>294</v>
      </c>
      <c r="F8" s="38" t="s">
        <v>295</v>
      </c>
      <c r="G8" s="39" t="s">
        <v>296</v>
      </c>
      <c r="H8" s="645"/>
      <c r="I8" s="649"/>
      <c r="J8" s="645"/>
      <c r="K8" s="645"/>
      <c r="L8" s="41"/>
    </row>
    <row r="9" spans="1:13" ht="1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287"/>
      <c r="J9" s="40">
        <v>9</v>
      </c>
      <c r="K9" s="40">
        <v>10</v>
      </c>
      <c r="L9" s="41"/>
      <c r="M9" s="41"/>
    </row>
    <row r="10" spans="1:13" ht="45">
      <c r="A10" s="40">
        <v>1</v>
      </c>
      <c r="B10" s="42" t="s">
        <v>297</v>
      </c>
      <c r="C10" s="43">
        <v>2</v>
      </c>
      <c r="D10" s="44">
        <f>E10+F10+G10</f>
        <v>20183</v>
      </c>
      <c r="E10" s="44">
        <v>8273</v>
      </c>
      <c r="F10" s="44">
        <v>10670</v>
      </c>
      <c r="G10" s="44">
        <v>1240</v>
      </c>
      <c r="H10" s="44">
        <v>80</v>
      </c>
      <c r="I10" s="44">
        <v>57500</v>
      </c>
      <c r="J10" s="44">
        <v>1.7</v>
      </c>
      <c r="K10" s="44">
        <f>C10*D10*(H10/100+J10)*12+I10*2</f>
        <v>1325980</v>
      </c>
      <c r="L10" s="47"/>
      <c r="M10" s="41"/>
    </row>
    <row r="11" spans="1:14" ht="15">
      <c r="A11" s="40">
        <v>2</v>
      </c>
      <c r="B11" s="42" t="s">
        <v>298</v>
      </c>
      <c r="C11" s="43">
        <v>1</v>
      </c>
      <c r="D11" s="44">
        <f aca="true" t="shared" si="0" ref="D11:D29">E11+F11+G11</f>
        <v>20183</v>
      </c>
      <c r="E11" s="44">
        <v>8273</v>
      </c>
      <c r="F11" s="44">
        <v>11910</v>
      </c>
      <c r="G11" s="44"/>
      <c r="H11" s="44">
        <v>80</v>
      </c>
      <c r="I11" s="44">
        <v>57500</v>
      </c>
      <c r="J11" s="44">
        <v>1.7</v>
      </c>
      <c r="K11" s="44">
        <f>C11*D11*(H11/100+J11)*12+I11</f>
        <v>662990</v>
      </c>
      <c r="L11" s="255"/>
      <c r="M11" s="46"/>
      <c r="N11" s="41"/>
    </row>
    <row r="12" spans="1:14" ht="15">
      <c r="A12" s="40">
        <v>3</v>
      </c>
      <c r="B12" s="42" t="s">
        <v>299</v>
      </c>
      <c r="C12" s="43">
        <v>1</v>
      </c>
      <c r="D12" s="44">
        <f>E12+F12+G12</f>
        <v>20183</v>
      </c>
      <c r="E12" s="44">
        <v>8273</v>
      </c>
      <c r="F12" s="44">
        <v>10670</v>
      </c>
      <c r="G12" s="44">
        <v>1240</v>
      </c>
      <c r="H12" s="44">
        <v>80</v>
      </c>
      <c r="I12" s="44">
        <v>57500</v>
      </c>
      <c r="J12" s="44">
        <v>1.7</v>
      </c>
      <c r="K12" s="44">
        <f>C12*D12*(H12/100+J12)*12+I12</f>
        <v>662990</v>
      </c>
      <c r="L12" s="47"/>
      <c r="M12" s="41"/>
      <c r="N12" s="41"/>
    </row>
    <row r="13" spans="1:14" ht="15">
      <c r="A13" s="40">
        <v>4</v>
      </c>
      <c r="B13" s="42" t="s">
        <v>300</v>
      </c>
      <c r="C13" s="43">
        <v>3</v>
      </c>
      <c r="D13" s="44">
        <f>E13+F13+G13</f>
        <v>20324</v>
      </c>
      <c r="E13" s="44">
        <v>8273</v>
      </c>
      <c r="F13" s="44">
        <v>10670</v>
      </c>
      <c r="G13" s="44">
        <f>1243+138</f>
        <v>1381</v>
      </c>
      <c r="H13" s="44">
        <v>80</v>
      </c>
      <c r="I13" s="44">
        <v>57500</v>
      </c>
      <c r="J13" s="44">
        <v>1.7</v>
      </c>
      <c r="K13" s="44">
        <f>C13*D13*(H13/100+J13)*12+30+I13*3</f>
        <v>2001690</v>
      </c>
      <c r="L13" s="41"/>
      <c r="M13" s="41"/>
      <c r="N13" s="41"/>
    </row>
    <row r="14" spans="1:14" ht="75">
      <c r="A14" s="40">
        <v>5</v>
      </c>
      <c r="B14" s="42" t="s">
        <v>301</v>
      </c>
      <c r="C14" s="43">
        <v>1</v>
      </c>
      <c r="D14" s="44">
        <f t="shared" si="0"/>
        <v>20183</v>
      </c>
      <c r="E14" s="44">
        <v>8273</v>
      </c>
      <c r="F14" s="44">
        <v>11910</v>
      </c>
      <c r="G14" s="44"/>
      <c r="H14" s="44">
        <v>80</v>
      </c>
      <c r="I14" s="44"/>
      <c r="J14" s="44">
        <v>1.7</v>
      </c>
      <c r="K14" s="44">
        <f>C14*D14*(H14/100+J14)*12</f>
        <v>605490</v>
      </c>
      <c r="L14" s="47">
        <f>12426754-1137600</f>
        <v>11289154</v>
      </c>
      <c r="M14" s="41"/>
      <c r="N14" s="41"/>
    </row>
    <row r="15" spans="1:14" ht="30">
      <c r="A15" s="40">
        <v>6</v>
      </c>
      <c r="B15" s="42" t="s">
        <v>302</v>
      </c>
      <c r="C15" s="43">
        <v>0.5</v>
      </c>
      <c r="D15" s="44">
        <f>E15+F15+G15</f>
        <v>17946</v>
      </c>
      <c r="E15" s="44">
        <v>9325</v>
      </c>
      <c r="F15" s="44">
        <v>7731</v>
      </c>
      <c r="G15" s="44">
        <v>890</v>
      </c>
      <c r="H15" s="44">
        <v>80</v>
      </c>
      <c r="I15" s="44"/>
      <c r="J15" s="44">
        <v>1.7</v>
      </c>
      <c r="K15" s="44">
        <f>C15*D15*(H15/100+J15)*12</f>
        <v>269190</v>
      </c>
      <c r="L15" s="47">
        <f>K10+K11+K12+K13+K14+K15+K16+K17+K18+K19+K20+K28+K29+K30</f>
        <v>12036654.00375</v>
      </c>
      <c r="M15" s="41"/>
      <c r="N15" s="41"/>
    </row>
    <row r="16" spans="1:14" ht="45">
      <c r="A16" s="40">
        <v>7</v>
      </c>
      <c r="B16" s="42" t="s">
        <v>303</v>
      </c>
      <c r="C16" s="43">
        <v>1</v>
      </c>
      <c r="D16" s="44">
        <f t="shared" si="0"/>
        <v>23870</v>
      </c>
      <c r="E16" s="44">
        <v>10638</v>
      </c>
      <c r="F16" s="44">
        <v>11358</v>
      </c>
      <c r="G16" s="44">
        <f>532+1342</f>
        <v>1874</v>
      </c>
      <c r="H16" s="44">
        <v>80</v>
      </c>
      <c r="I16" s="44">
        <v>57500</v>
      </c>
      <c r="J16" s="44">
        <v>1.7</v>
      </c>
      <c r="K16" s="44">
        <f>C16*D16*(H16/100+J16)*12+I16</f>
        <v>773600</v>
      </c>
      <c r="L16" s="255">
        <f>L14-L15</f>
        <v>-747500.0037500001</v>
      </c>
      <c r="M16" s="46"/>
      <c r="N16" s="41"/>
    </row>
    <row r="17" spans="1:14" ht="30">
      <c r="A17" s="40">
        <v>8</v>
      </c>
      <c r="B17" s="42" t="s">
        <v>531</v>
      </c>
      <c r="C17" s="43">
        <v>1</v>
      </c>
      <c r="D17" s="44">
        <f>E17+F17+G17</f>
        <v>24310</v>
      </c>
      <c r="E17" s="44">
        <v>13920</v>
      </c>
      <c r="F17" s="44"/>
      <c r="G17" s="44">
        <f>9048+1342</f>
        <v>10390</v>
      </c>
      <c r="H17" s="44">
        <v>80</v>
      </c>
      <c r="I17" s="44">
        <v>57500</v>
      </c>
      <c r="J17" s="44">
        <v>1.7</v>
      </c>
      <c r="K17" s="44">
        <f>C17*D17*(H17/100+J17)*12+I17</f>
        <v>786800</v>
      </c>
      <c r="L17" s="47">
        <f>11404000+1137600</f>
        <v>12541600</v>
      </c>
      <c r="M17" s="41"/>
      <c r="N17" s="41"/>
    </row>
    <row r="18" spans="1:14" ht="30">
      <c r="A18" s="40">
        <v>9</v>
      </c>
      <c r="B18" s="42" t="s">
        <v>304</v>
      </c>
      <c r="C18" s="43">
        <v>1</v>
      </c>
      <c r="D18" s="44">
        <f t="shared" si="0"/>
        <v>14343</v>
      </c>
      <c r="E18" s="44">
        <v>13001</v>
      </c>
      <c r="F18" s="44"/>
      <c r="G18" s="44">
        <v>1342</v>
      </c>
      <c r="H18" s="44">
        <v>80</v>
      </c>
      <c r="I18" s="44"/>
      <c r="J18" s="44">
        <v>1.7</v>
      </c>
      <c r="K18" s="44">
        <f>C18*D18*(H18/100+J18)*12</f>
        <v>430290</v>
      </c>
      <c r="L18" s="47">
        <f>K21+K22+K23+K24+K25+K26+K27</f>
        <v>12541600</v>
      </c>
      <c r="M18" s="41"/>
      <c r="N18" s="41"/>
    </row>
    <row r="19" spans="1:14" ht="30">
      <c r="A19" s="40">
        <v>10</v>
      </c>
      <c r="B19" s="42" t="s">
        <v>532</v>
      </c>
      <c r="C19" s="43">
        <v>1</v>
      </c>
      <c r="D19" s="44">
        <f>E19+F19+G19</f>
        <v>20830</v>
      </c>
      <c r="E19" s="44">
        <v>13920</v>
      </c>
      <c r="F19" s="44"/>
      <c r="G19" s="44">
        <f>5568+1342</f>
        <v>6910</v>
      </c>
      <c r="H19" s="44">
        <v>80</v>
      </c>
      <c r="I19" s="44">
        <v>57500</v>
      </c>
      <c r="J19" s="44">
        <v>1.7</v>
      </c>
      <c r="K19" s="44">
        <f>C19*D19*(H19/100+J19)*12+I19</f>
        <v>682400</v>
      </c>
      <c r="L19" s="47">
        <f>L17-L18</f>
        <v>0</v>
      </c>
      <c r="M19" s="41"/>
      <c r="N19" s="41"/>
    </row>
    <row r="20" spans="1:14" ht="30">
      <c r="A20" s="40">
        <v>11</v>
      </c>
      <c r="B20" s="42" t="s">
        <v>305</v>
      </c>
      <c r="C20" s="43">
        <v>0.5</v>
      </c>
      <c r="D20" s="44">
        <f t="shared" si="0"/>
        <v>17336.995</v>
      </c>
      <c r="E20" s="44">
        <v>10243</v>
      </c>
      <c r="F20" s="44">
        <f>5120-330</f>
        <v>4790</v>
      </c>
      <c r="G20" s="44">
        <f>E20*0.45/2-0.68</f>
        <v>2303.9950000000003</v>
      </c>
      <c r="H20" s="44">
        <v>80</v>
      </c>
      <c r="I20" s="44"/>
      <c r="J20" s="44">
        <v>1.7</v>
      </c>
      <c r="K20" s="44">
        <f>C20*D20*(H20/100+J20)*9-1.19</f>
        <v>195040.00374999997</v>
      </c>
      <c r="L20" s="47"/>
      <c r="M20" s="47"/>
      <c r="N20" s="41"/>
    </row>
    <row r="21" spans="1:14" ht="30">
      <c r="A21" s="40">
        <v>12</v>
      </c>
      <c r="B21" s="42" t="s">
        <v>306</v>
      </c>
      <c r="C21" s="43">
        <v>0.5</v>
      </c>
      <c r="D21" s="44">
        <f t="shared" si="0"/>
        <v>20084.6</v>
      </c>
      <c r="E21" s="44">
        <v>10709</v>
      </c>
      <c r="F21" s="44"/>
      <c r="G21" s="44">
        <f>6300+3075.6</f>
        <v>9375.6</v>
      </c>
      <c r="H21" s="44">
        <v>80</v>
      </c>
      <c r="I21" s="44"/>
      <c r="J21" s="44">
        <v>1.7</v>
      </c>
      <c r="K21" s="44">
        <f>C21*D21*(H21/100+J21)*12+1</f>
        <v>301270</v>
      </c>
      <c r="L21" s="203"/>
      <c r="M21" s="41"/>
      <c r="N21" s="41"/>
    </row>
    <row r="22" spans="1:14" ht="30">
      <c r="A22" s="40">
        <v>13</v>
      </c>
      <c r="B22" s="42" t="s">
        <v>307</v>
      </c>
      <c r="C22" s="43">
        <v>5.5</v>
      </c>
      <c r="D22" s="44">
        <f t="shared" si="0"/>
        <v>27076</v>
      </c>
      <c r="E22" s="44">
        <v>11339</v>
      </c>
      <c r="F22" s="44"/>
      <c r="G22" s="44">
        <f>12650+3087</f>
        <v>15737</v>
      </c>
      <c r="H22" s="44">
        <v>80</v>
      </c>
      <c r="I22" s="44"/>
      <c r="J22" s="44">
        <v>1.7</v>
      </c>
      <c r="K22" s="44">
        <f aca="true" t="shared" si="1" ref="K22:K27">C22*D22*(H22/100+J22)*12</f>
        <v>4467540</v>
      </c>
      <c r="L22" s="47"/>
      <c r="M22" s="41"/>
      <c r="N22" s="41"/>
    </row>
    <row r="23" spans="1:14" ht="45">
      <c r="A23" s="40">
        <v>14</v>
      </c>
      <c r="B23" s="42" t="s">
        <v>308</v>
      </c>
      <c r="C23" s="43">
        <v>5.5</v>
      </c>
      <c r="D23" s="44">
        <f t="shared" si="0"/>
        <v>27076</v>
      </c>
      <c r="E23" s="44">
        <v>11339</v>
      </c>
      <c r="F23" s="44"/>
      <c r="G23" s="44">
        <f>12650+3087</f>
        <v>15737</v>
      </c>
      <c r="H23" s="44">
        <v>80</v>
      </c>
      <c r="I23" s="44"/>
      <c r="J23" s="44">
        <v>1.7</v>
      </c>
      <c r="K23" s="44">
        <f t="shared" si="1"/>
        <v>4467540</v>
      </c>
      <c r="L23" s="203"/>
      <c r="M23" s="41"/>
      <c r="N23" s="41"/>
    </row>
    <row r="24" spans="1:14" ht="45">
      <c r="A24" s="250">
        <v>15</v>
      </c>
      <c r="B24" s="42" t="s">
        <v>308</v>
      </c>
      <c r="C24" s="43">
        <v>1</v>
      </c>
      <c r="D24" s="44">
        <f>E24+F24+G24</f>
        <v>27077</v>
      </c>
      <c r="E24" s="44">
        <v>11339</v>
      </c>
      <c r="F24" s="44"/>
      <c r="G24" s="44">
        <f>12651+3087</f>
        <v>15738</v>
      </c>
      <c r="H24" s="44">
        <v>80</v>
      </c>
      <c r="I24" s="44"/>
      <c r="J24" s="44">
        <v>1.7</v>
      </c>
      <c r="K24" s="44">
        <f t="shared" si="1"/>
        <v>812310</v>
      </c>
      <c r="L24" s="203"/>
      <c r="M24" s="41"/>
      <c r="N24" s="41"/>
    </row>
    <row r="25" spans="1:14" ht="30">
      <c r="A25" s="40">
        <v>16</v>
      </c>
      <c r="B25" s="42" t="s">
        <v>309</v>
      </c>
      <c r="C25" s="43">
        <v>1</v>
      </c>
      <c r="D25" s="44">
        <f t="shared" si="0"/>
        <v>27076</v>
      </c>
      <c r="E25" s="44">
        <v>11339</v>
      </c>
      <c r="F25" s="44"/>
      <c r="G25" s="44">
        <f>12650+3087</f>
        <v>15737</v>
      </c>
      <c r="H25" s="44">
        <v>80</v>
      </c>
      <c r="I25" s="44"/>
      <c r="J25" s="44">
        <v>1.7</v>
      </c>
      <c r="K25" s="44">
        <f t="shared" si="1"/>
        <v>812280</v>
      </c>
      <c r="L25" s="203"/>
      <c r="M25" s="41"/>
      <c r="N25" s="41"/>
    </row>
    <row r="26" spans="1:14" ht="15">
      <c r="A26" s="40">
        <v>17</v>
      </c>
      <c r="B26" s="42" t="s">
        <v>310</v>
      </c>
      <c r="C26" s="43">
        <v>1</v>
      </c>
      <c r="D26" s="44">
        <f t="shared" si="0"/>
        <v>28011</v>
      </c>
      <c r="E26" s="44">
        <v>12141</v>
      </c>
      <c r="F26" s="44"/>
      <c r="G26" s="44">
        <f>12783+3087</f>
        <v>15870</v>
      </c>
      <c r="H26" s="44">
        <v>80</v>
      </c>
      <c r="I26" s="44"/>
      <c r="J26" s="44">
        <v>1.7</v>
      </c>
      <c r="K26" s="44">
        <f t="shared" si="1"/>
        <v>840330</v>
      </c>
      <c r="L26" s="41"/>
      <c r="M26" s="41"/>
      <c r="N26" s="41"/>
    </row>
    <row r="27" spans="1:14" ht="30">
      <c r="A27" s="40">
        <v>18</v>
      </c>
      <c r="B27" s="42" t="s">
        <v>311</v>
      </c>
      <c r="C27" s="43">
        <v>1</v>
      </c>
      <c r="D27" s="44">
        <f t="shared" si="0"/>
        <v>28011</v>
      </c>
      <c r="E27" s="44">
        <v>12141</v>
      </c>
      <c r="F27" s="44"/>
      <c r="G27" s="44">
        <f>12783+3087</f>
        <v>15870</v>
      </c>
      <c r="H27" s="44">
        <v>80</v>
      </c>
      <c r="I27" s="44"/>
      <c r="J27" s="44">
        <v>1.7</v>
      </c>
      <c r="K27" s="44">
        <f t="shared" si="1"/>
        <v>840330</v>
      </c>
      <c r="L27" s="47"/>
      <c r="M27" s="47">
        <f>K21+K22+K23+K25+K26+K27</f>
        <v>11729290</v>
      </c>
      <c r="N27" s="47">
        <f>M27-L27</f>
        <v>11729290</v>
      </c>
    </row>
    <row r="28" spans="1:14" ht="75">
      <c r="A28" s="40">
        <v>19</v>
      </c>
      <c r="B28" s="42" t="s">
        <v>312</v>
      </c>
      <c r="C28" s="43">
        <v>1</v>
      </c>
      <c r="D28" s="44">
        <f t="shared" si="0"/>
        <v>30584</v>
      </c>
      <c r="E28" s="44">
        <v>28124</v>
      </c>
      <c r="F28" s="44"/>
      <c r="G28" s="44">
        <f>9800-2140-5200</f>
        <v>2460</v>
      </c>
      <c r="H28" s="44">
        <v>80</v>
      </c>
      <c r="I28" s="44">
        <v>57500</v>
      </c>
      <c r="J28" s="44">
        <v>1.7</v>
      </c>
      <c r="K28" s="44">
        <f>C28*D28*(H28/100+J28)*12+I28</f>
        <v>975020</v>
      </c>
      <c r="L28" s="47"/>
      <c r="M28" s="47"/>
      <c r="N28" s="41"/>
    </row>
    <row r="29" spans="1:14" ht="30">
      <c r="A29" s="40">
        <v>20</v>
      </c>
      <c r="B29" s="42" t="s">
        <v>313</v>
      </c>
      <c r="C29" s="43">
        <v>1</v>
      </c>
      <c r="D29" s="44">
        <f t="shared" si="0"/>
        <v>37540</v>
      </c>
      <c r="E29" s="44">
        <v>28124</v>
      </c>
      <c r="F29" s="44"/>
      <c r="G29" s="44">
        <f>9800-384</f>
        <v>9416</v>
      </c>
      <c r="H29" s="44">
        <v>80</v>
      </c>
      <c r="I29" s="44">
        <v>57500</v>
      </c>
      <c r="J29" s="44">
        <v>1.7</v>
      </c>
      <c r="K29" s="44">
        <f>C29*D29*(H29/100+J29)*12+I29</f>
        <v>1183700</v>
      </c>
      <c r="L29" s="47"/>
      <c r="M29" s="47">
        <f>K29+K28+K30+K10+K11+K12+K13+K14+K15+K16+K17+K18+K19+K20</f>
        <v>12036654.00375</v>
      </c>
      <c r="N29" s="47">
        <f>L29-M29</f>
        <v>-12036654.00375</v>
      </c>
    </row>
    <row r="30" spans="1:14" ht="15">
      <c r="A30" s="40">
        <v>21</v>
      </c>
      <c r="B30" s="42" t="s">
        <v>271</v>
      </c>
      <c r="C30" s="43">
        <v>1</v>
      </c>
      <c r="D30" s="44">
        <f>E30+F30+G30</f>
        <v>47465.8</v>
      </c>
      <c r="E30" s="44">
        <v>31249</v>
      </c>
      <c r="F30" s="44"/>
      <c r="G30" s="44">
        <f>E30*0.2+9967</f>
        <v>16216.8</v>
      </c>
      <c r="H30" s="44">
        <v>80</v>
      </c>
      <c r="I30" s="44">
        <v>57500</v>
      </c>
      <c r="J30" s="44">
        <v>1.7</v>
      </c>
      <c r="K30" s="44">
        <f>C30*D30*(H30/100+J30)*12+I30</f>
        <v>1481474</v>
      </c>
      <c r="L30" s="47">
        <f>L18+L15</f>
        <v>24578254.00375</v>
      </c>
      <c r="M30" s="47"/>
      <c r="N30" s="41"/>
    </row>
    <row r="31" spans="1:14" ht="15">
      <c r="A31" s="49"/>
      <c r="B31" s="50" t="s">
        <v>314</v>
      </c>
      <c r="C31" s="40" t="s">
        <v>34</v>
      </c>
      <c r="D31" s="51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>
        <f>SUM(K10:K30)</f>
        <v>24578254.00375</v>
      </c>
      <c r="L31" s="47">
        <f>L30-K31</f>
        <v>0</v>
      </c>
      <c r="M31" s="41"/>
      <c r="N31" s="41"/>
    </row>
    <row r="32" spans="1:14" ht="15">
      <c r="A32" s="52"/>
      <c r="B32" s="635"/>
      <c r="C32" s="635"/>
      <c r="D32" s="636"/>
      <c r="E32" s="636"/>
      <c r="F32" s="53"/>
      <c r="G32" s="54"/>
      <c r="H32" s="55"/>
      <c r="I32" s="55"/>
      <c r="J32" s="55"/>
      <c r="K32" s="268">
        <f>10286021</f>
        <v>10286021</v>
      </c>
      <c r="L32" s="47"/>
      <c r="M32" s="203">
        <f>K32-L32</f>
        <v>10286021</v>
      </c>
      <c r="N32" s="41"/>
    </row>
    <row r="33" spans="1:14" ht="15">
      <c r="A33" s="56"/>
      <c r="B33" s="57"/>
      <c r="C33" s="58" t="s">
        <v>315</v>
      </c>
      <c r="D33" s="59">
        <v>7575444</v>
      </c>
      <c r="E33" s="60"/>
      <c r="F33" s="56"/>
      <c r="G33" s="61"/>
      <c r="H33" s="61"/>
      <c r="I33" s="61"/>
      <c r="J33" s="61"/>
      <c r="K33" s="269">
        <v>10084600</v>
      </c>
      <c r="L33" s="267">
        <f>K31+'ЗП ИЦ'!EA24</f>
        <v>25427188.00055</v>
      </c>
      <c r="M33" s="203"/>
      <c r="N33" s="41"/>
    </row>
    <row r="34" spans="1:14" ht="15">
      <c r="A34" s="56"/>
      <c r="B34" s="58"/>
      <c r="C34" s="58" t="s">
        <v>316</v>
      </c>
      <c r="D34" s="59">
        <v>10274544</v>
      </c>
      <c r="E34" s="59"/>
      <c r="F34" s="56"/>
      <c r="G34" s="61"/>
      <c r="H34" s="61"/>
      <c r="I34" s="61"/>
      <c r="J34" s="267">
        <f>K31+'ПВ МЗ'!G34+'НЧ МЗ'!F18+'290 МЗ'!G9+'290 МЗ'!G17+'244,247 МЗ'!G37+'244,247 МЗ'!G57+'244 МЗ (2)'!G31+'244 МЗ (2)'!G50</f>
        <v>33981280.287310004</v>
      </c>
      <c r="K34" s="62"/>
      <c r="L34" s="46"/>
      <c r="M34" s="41"/>
      <c r="N34" s="41"/>
    </row>
    <row r="35" spans="1:14" ht="15">
      <c r="A35" s="56"/>
      <c r="B35" s="58"/>
      <c r="C35" s="58"/>
      <c r="D35" s="59">
        <f>SUM(D33:D34)</f>
        <v>17849988</v>
      </c>
      <c r="E35" s="58"/>
      <c r="F35" s="56"/>
      <c r="G35" s="56"/>
      <c r="H35" s="56"/>
      <c r="I35" s="56"/>
      <c r="J35" s="58">
        <v>35474551</v>
      </c>
      <c r="K35" s="63"/>
      <c r="L35" s="46"/>
      <c r="M35" s="41"/>
      <c r="N35" s="41"/>
    </row>
    <row r="36" spans="1:14" ht="12.75">
      <c r="A36" s="61"/>
      <c r="B36" s="64"/>
      <c r="C36" s="64"/>
      <c r="D36" s="64"/>
      <c r="E36" s="64"/>
      <c r="F36" s="61"/>
      <c r="G36" s="61"/>
      <c r="H36" s="61"/>
      <c r="I36" s="61"/>
      <c r="J36" s="267">
        <f>J35-J34</f>
        <v>1493270.7126899958</v>
      </c>
      <c r="K36" s="61"/>
      <c r="L36" s="46"/>
      <c r="M36" s="41"/>
      <c r="N36" s="41"/>
    </row>
    <row r="37" spans="2:10" ht="12.75">
      <c r="B37" s="48"/>
      <c r="C37" s="48"/>
      <c r="D37" s="48"/>
      <c r="E37" s="48"/>
      <c r="J37" s="41"/>
    </row>
    <row r="38" spans="2:5" ht="12.75">
      <c r="B38" s="48"/>
      <c r="C38" s="48"/>
      <c r="D38" s="48"/>
      <c r="E38" s="48"/>
    </row>
    <row r="39" spans="2:5" ht="12.75">
      <c r="B39" s="48"/>
      <c r="C39" s="48"/>
      <c r="D39" s="48"/>
      <c r="E39" s="48"/>
    </row>
    <row r="40" spans="2:5" ht="12.75">
      <c r="B40" s="48"/>
      <c r="C40" s="48"/>
      <c r="D40" s="48"/>
      <c r="E40" s="48"/>
    </row>
    <row r="41" spans="2:5" ht="12.75">
      <c r="B41" s="48"/>
      <c r="C41" s="48"/>
      <c r="D41" s="48"/>
      <c r="E41" s="48"/>
    </row>
    <row r="42" spans="2:5" ht="12.75">
      <c r="B42" s="48"/>
      <c r="C42" s="48"/>
      <c r="D42" s="48"/>
      <c r="E42" s="48"/>
    </row>
    <row r="43" spans="2:5" ht="12.75">
      <c r="B43" s="48"/>
      <c r="C43" s="48"/>
      <c r="D43" s="48"/>
      <c r="E43" s="48"/>
    </row>
    <row r="44" spans="2:5" ht="12.75">
      <c r="B44" s="48"/>
      <c r="C44" s="48"/>
      <c r="D44" s="48"/>
      <c r="E44" s="48"/>
    </row>
  </sheetData>
  <sheetProtection/>
  <mergeCells count="15">
    <mergeCell ref="J6:J8"/>
    <mergeCell ref="K6:K8"/>
    <mergeCell ref="D7:D8"/>
    <mergeCell ref="E7:G7"/>
    <mergeCell ref="I6:I8"/>
    <mergeCell ref="B32:E32"/>
    <mergeCell ref="A1:K1"/>
    <mergeCell ref="A2:H2"/>
    <mergeCell ref="A4:K4"/>
    <mergeCell ref="A5:H5"/>
    <mergeCell ref="A6:A8"/>
    <mergeCell ref="B6:B8"/>
    <mergeCell ref="C6:C8"/>
    <mergeCell ref="D6:G6"/>
    <mergeCell ref="H6:H8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30"/>
  <sheetViews>
    <sheetView zoomScalePageLayoutView="0" workbookViewId="0" topLeftCell="A4">
      <selection activeCell="EA23" sqref="EA23"/>
    </sheetView>
  </sheetViews>
  <sheetFormatPr defaultColWidth="9.33203125" defaultRowHeight="12.75"/>
  <cols>
    <col min="1" max="1" width="5.66015625" style="0" customWidth="1"/>
    <col min="2" max="6" width="9.33203125" style="0" hidden="1" customWidth="1"/>
    <col min="11" max="11" width="6.5" style="0" customWidth="1"/>
    <col min="12" max="24" width="9.33203125" style="0" hidden="1" customWidth="1"/>
    <col min="26" max="26" width="2.16015625" style="0" customWidth="1"/>
    <col min="27" max="27" width="6.83203125" style="0" hidden="1" customWidth="1"/>
    <col min="28" max="40" width="9.33203125" style="0" hidden="1" customWidth="1"/>
    <col min="42" max="42" width="4.83203125" style="0" customWidth="1"/>
    <col min="43" max="43" width="3.16015625" style="0" hidden="1" customWidth="1"/>
    <col min="44" max="57" width="9.33203125" style="0" hidden="1" customWidth="1"/>
    <col min="58" max="58" width="5.83203125" style="0" customWidth="1"/>
    <col min="59" max="59" width="2.33203125" style="0" customWidth="1"/>
    <col min="60" max="60" width="5" style="0" hidden="1" customWidth="1"/>
    <col min="61" max="75" width="9.33203125" style="0" hidden="1" customWidth="1"/>
    <col min="76" max="76" width="11.5" style="0" customWidth="1"/>
    <col min="77" max="77" width="6.33203125" style="0" hidden="1" customWidth="1"/>
    <col min="78" max="94" width="9.33203125" style="0" hidden="1" customWidth="1"/>
    <col min="96" max="96" width="2.5" style="0" customWidth="1"/>
    <col min="97" max="112" width="9.33203125" style="0" hidden="1" customWidth="1"/>
    <col min="114" max="114" width="2.16015625" style="0" customWidth="1"/>
    <col min="115" max="127" width="9.33203125" style="0" hidden="1" customWidth="1"/>
    <col min="128" max="128" width="10.33203125" style="0" hidden="1" customWidth="1"/>
    <col min="130" max="130" width="2" style="0" customWidth="1"/>
    <col min="131" max="131" width="15.83203125" style="0" customWidth="1"/>
    <col min="132" max="132" width="12.66015625" style="0" customWidth="1"/>
    <col min="133" max="133" width="11.66015625" style="0" customWidth="1"/>
  </cols>
  <sheetData>
    <row r="1" spans="1:131" ht="36" customHeight="1">
      <c r="A1" s="677" t="s">
        <v>472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677"/>
      <c r="BG1" s="677"/>
      <c r="BH1" s="677"/>
      <c r="BI1" s="677"/>
      <c r="BJ1" s="677"/>
      <c r="BK1" s="677"/>
      <c r="BL1" s="677"/>
      <c r="BM1" s="677"/>
      <c r="BN1" s="677"/>
      <c r="BO1" s="677"/>
      <c r="BP1" s="677"/>
      <c r="BQ1" s="677"/>
      <c r="BR1" s="677"/>
      <c r="BS1" s="677"/>
      <c r="BT1" s="677"/>
      <c r="BU1" s="677"/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677"/>
      <c r="CT1" s="677"/>
      <c r="CU1" s="677"/>
      <c r="CV1" s="677"/>
      <c r="CW1" s="677"/>
      <c r="CX1" s="677"/>
      <c r="CY1" s="677"/>
      <c r="CZ1" s="677"/>
      <c r="DA1" s="677"/>
      <c r="DB1" s="677"/>
      <c r="DC1" s="677"/>
      <c r="DD1" s="677"/>
      <c r="DE1" s="677"/>
      <c r="DF1" s="677"/>
      <c r="DG1" s="677"/>
      <c r="DH1" s="677"/>
      <c r="DI1" s="677"/>
      <c r="DJ1" s="677"/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</row>
    <row r="2" spans="1:13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</row>
    <row r="3" spans="1:131" ht="14.25">
      <c r="A3" s="678" t="s">
        <v>473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  <c r="BB3" s="678"/>
      <c r="BC3" s="678"/>
      <c r="BD3" s="678"/>
      <c r="BE3" s="678"/>
      <c r="BF3" s="678"/>
      <c r="BG3" s="678"/>
      <c r="BH3" s="678"/>
      <c r="BI3" s="678"/>
      <c r="BJ3" s="678"/>
      <c r="BK3" s="678"/>
      <c r="BL3" s="678"/>
      <c r="BM3" s="678"/>
      <c r="BN3" s="678"/>
      <c r="BO3" s="678"/>
      <c r="BP3" s="678"/>
      <c r="BQ3" s="678"/>
      <c r="BR3" s="678"/>
      <c r="BS3" s="678"/>
      <c r="BT3" s="678"/>
      <c r="BU3" s="678"/>
      <c r="BV3" s="678"/>
      <c r="BW3" s="678"/>
      <c r="BX3" s="678"/>
      <c r="BY3" s="678"/>
      <c r="BZ3" s="678"/>
      <c r="CA3" s="678"/>
      <c r="CB3" s="678"/>
      <c r="CC3" s="678"/>
      <c r="CD3" s="678"/>
      <c r="CE3" s="678"/>
      <c r="CF3" s="678"/>
      <c r="CG3" s="678"/>
      <c r="CH3" s="678"/>
      <c r="CI3" s="678"/>
      <c r="CJ3" s="678"/>
      <c r="CK3" s="678"/>
      <c r="CL3" s="678"/>
      <c r="CM3" s="678"/>
      <c r="CN3" s="678"/>
      <c r="CO3" s="678"/>
      <c r="CP3" s="678"/>
      <c r="CQ3" s="678"/>
      <c r="CR3" s="678"/>
      <c r="CS3" s="678"/>
      <c r="CT3" s="678"/>
      <c r="CU3" s="678"/>
      <c r="CV3" s="678"/>
      <c r="CW3" s="678"/>
      <c r="CX3" s="678"/>
      <c r="CY3" s="678"/>
      <c r="CZ3" s="678"/>
      <c r="DA3" s="678"/>
      <c r="DB3" s="678"/>
      <c r="DC3" s="678"/>
      <c r="DD3" s="678"/>
      <c r="DE3" s="678"/>
      <c r="DF3" s="678"/>
      <c r="DG3" s="678"/>
      <c r="DH3" s="678"/>
      <c r="DI3" s="678"/>
      <c r="DJ3" s="678"/>
      <c r="DK3" s="678"/>
      <c r="DL3" s="678"/>
      <c r="DM3" s="678"/>
      <c r="DN3" s="678"/>
      <c r="DO3" s="678"/>
      <c r="DP3" s="678"/>
      <c r="DQ3" s="678"/>
      <c r="DR3" s="678"/>
      <c r="DS3" s="678"/>
      <c r="DT3" s="678"/>
      <c r="DU3" s="678"/>
      <c r="DV3" s="678"/>
      <c r="DW3" s="678"/>
      <c r="DX3" s="678"/>
      <c r="DY3" s="678"/>
      <c r="DZ3" s="678"/>
      <c r="EA3" s="678"/>
    </row>
    <row r="4" spans="1:13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</row>
    <row r="5" spans="1:131" ht="14.25">
      <c r="A5" s="161" t="s">
        <v>283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679" t="s">
        <v>81</v>
      </c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79"/>
      <c r="AV5" s="679"/>
      <c r="AW5" s="679"/>
      <c r="AX5" s="679"/>
      <c r="AY5" s="679"/>
      <c r="AZ5" s="679"/>
      <c r="BA5" s="679"/>
      <c r="BB5" s="679"/>
      <c r="BC5" s="679"/>
      <c r="BD5" s="679"/>
      <c r="BE5" s="679"/>
      <c r="BF5" s="679"/>
      <c r="BG5" s="679"/>
      <c r="BH5" s="679"/>
      <c r="BI5" s="679"/>
      <c r="BJ5" s="679"/>
      <c r="BK5" s="679"/>
      <c r="BL5" s="679"/>
      <c r="BM5" s="679"/>
      <c r="BN5" s="679"/>
      <c r="BO5" s="679"/>
      <c r="BP5" s="679"/>
      <c r="BQ5" s="679"/>
      <c r="BR5" s="679"/>
      <c r="BS5" s="679"/>
      <c r="BT5" s="679"/>
      <c r="BU5" s="679"/>
      <c r="BV5" s="679"/>
      <c r="BW5" s="679"/>
      <c r="BX5" s="679"/>
      <c r="BY5" s="679"/>
      <c r="BZ5" s="679"/>
      <c r="CA5" s="679"/>
      <c r="CB5" s="679"/>
      <c r="CC5" s="679"/>
      <c r="CD5" s="679"/>
      <c r="CE5" s="679"/>
      <c r="CF5" s="679"/>
      <c r="CG5" s="679"/>
      <c r="CH5" s="679"/>
      <c r="CI5" s="679"/>
      <c r="CJ5" s="679"/>
      <c r="CK5" s="679"/>
      <c r="CL5" s="679"/>
      <c r="CM5" s="679"/>
      <c r="CN5" s="679"/>
      <c r="CO5" s="679"/>
      <c r="CP5" s="679"/>
      <c r="CQ5" s="679"/>
      <c r="CR5" s="679"/>
      <c r="CS5" s="679"/>
      <c r="CT5" s="679"/>
      <c r="CU5" s="679"/>
      <c r="CV5" s="679"/>
      <c r="CW5" s="679"/>
      <c r="CX5" s="679"/>
      <c r="CY5" s="679"/>
      <c r="CZ5" s="679"/>
      <c r="DA5" s="679"/>
      <c r="DB5" s="679"/>
      <c r="DC5" s="679"/>
      <c r="DD5" s="679"/>
      <c r="DE5" s="679"/>
      <c r="DF5" s="679"/>
      <c r="DG5" s="679"/>
      <c r="DH5" s="679"/>
      <c r="DI5" s="679"/>
      <c r="DJ5" s="679"/>
      <c r="DK5" s="679"/>
      <c r="DL5" s="679"/>
      <c r="DM5" s="679"/>
      <c r="DN5" s="679"/>
      <c r="DO5" s="679"/>
      <c r="DP5" s="679"/>
      <c r="DQ5" s="679"/>
      <c r="DR5" s="679"/>
      <c r="DS5" s="679"/>
      <c r="DT5" s="679"/>
      <c r="DU5" s="679"/>
      <c r="DV5" s="679"/>
      <c r="DW5" s="679"/>
      <c r="DX5" s="679"/>
      <c r="DY5" s="679"/>
      <c r="DZ5" s="679"/>
      <c r="EA5" s="679"/>
    </row>
    <row r="6" spans="1:131" ht="14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</row>
    <row r="7" spans="1:131" ht="15">
      <c r="A7" s="680" t="s">
        <v>474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680"/>
      <c r="AG7" s="680"/>
      <c r="AH7" s="680"/>
      <c r="AI7" s="680"/>
      <c r="AJ7" s="680"/>
      <c r="AK7" s="680"/>
      <c r="AL7" s="680"/>
      <c r="AM7" s="680"/>
      <c r="AN7" s="680"/>
      <c r="AO7" s="680"/>
      <c r="AP7" s="681"/>
      <c r="AQ7" s="682"/>
      <c r="AR7" s="682"/>
      <c r="AS7" s="682"/>
      <c r="AT7" s="682"/>
      <c r="AU7" s="682"/>
      <c r="AV7" s="682"/>
      <c r="AW7" s="682"/>
      <c r="AX7" s="682"/>
      <c r="AY7" s="682"/>
      <c r="AZ7" s="682"/>
      <c r="BA7" s="682"/>
      <c r="BB7" s="682"/>
      <c r="BC7" s="682"/>
      <c r="BD7" s="682"/>
      <c r="BE7" s="682"/>
      <c r="BF7" s="682"/>
      <c r="BG7" s="682"/>
      <c r="BH7" s="682"/>
      <c r="BI7" s="682"/>
      <c r="BJ7" s="682"/>
      <c r="BK7" s="682"/>
      <c r="BL7" s="682"/>
      <c r="BM7" s="682"/>
      <c r="BN7" s="682"/>
      <c r="BO7" s="682"/>
      <c r="BP7" s="682"/>
      <c r="BQ7" s="682"/>
      <c r="BR7" s="682"/>
      <c r="BS7" s="682"/>
      <c r="BT7" s="682"/>
      <c r="BU7" s="682"/>
      <c r="BV7" s="682"/>
      <c r="BW7" s="682"/>
      <c r="BX7" s="682"/>
      <c r="BY7" s="682"/>
      <c r="BZ7" s="682"/>
      <c r="CA7" s="682"/>
      <c r="CB7" s="682"/>
      <c r="CC7" s="682"/>
      <c r="CD7" s="682"/>
      <c r="CE7" s="682"/>
      <c r="CF7" s="682"/>
      <c r="CG7" s="682"/>
      <c r="CH7" s="682"/>
      <c r="CI7" s="682"/>
      <c r="CJ7" s="682"/>
      <c r="CK7" s="682"/>
      <c r="CL7" s="682"/>
      <c r="CM7" s="682"/>
      <c r="CN7" s="682"/>
      <c r="CO7" s="682"/>
      <c r="CP7" s="682"/>
      <c r="CQ7" s="682"/>
      <c r="CR7" s="682"/>
      <c r="CS7" s="682"/>
      <c r="CT7" s="682"/>
      <c r="CU7" s="682"/>
      <c r="CV7" s="682"/>
      <c r="CW7" s="682"/>
      <c r="CX7" s="682"/>
      <c r="CY7" s="682"/>
      <c r="CZ7" s="682"/>
      <c r="DA7" s="682"/>
      <c r="DB7" s="682"/>
      <c r="DC7" s="682"/>
      <c r="DD7" s="682"/>
      <c r="DE7" s="682"/>
      <c r="DF7" s="682"/>
      <c r="DG7" s="682"/>
      <c r="DH7" s="682"/>
      <c r="DI7" s="682"/>
      <c r="DJ7" s="682"/>
      <c r="DK7" s="682"/>
      <c r="DL7" s="682"/>
      <c r="DM7" s="682"/>
      <c r="DN7" s="682"/>
      <c r="DO7" s="682"/>
      <c r="DP7" s="682"/>
      <c r="DQ7" s="682"/>
      <c r="DR7" s="682"/>
      <c r="DS7" s="682"/>
      <c r="DT7" s="682"/>
      <c r="DU7" s="682"/>
      <c r="DV7" s="682"/>
      <c r="DW7" s="682"/>
      <c r="DX7" s="682"/>
      <c r="DY7" s="682"/>
      <c r="DZ7" s="682"/>
      <c r="EA7" s="682"/>
    </row>
    <row r="8" spans="1:13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682"/>
      <c r="AQ8" s="682"/>
      <c r="AR8" s="682"/>
      <c r="AS8" s="682"/>
      <c r="AT8" s="682"/>
      <c r="AU8" s="682"/>
      <c r="AV8" s="682"/>
      <c r="AW8" s="682"/>
      <c r="AX8" s="682"/>
      <c r="AY8" s="682"/>
      <c r="AZ8" s="682"/>
      <c r="BA8" s="682"/>
      <c r="BB8" s="682"/>
      <c r="BC8" s="682"/>
      <c r="BD8" s="682"/>
      <c r="BE8" s="682"/>
      <c r="BF8" s="682"/>
      <c r="BG8" s="682"/>
      <c r="BH8" s="682"/>
      <c r="BI8" s="682"/>
      <c r="BJ8" s="682"/>
      <c r="BK8" s="682"/>
      <c r="BL8" s="682"/>
      <c r="BM8" s="682"/>
      <c r="BN8" s="682"/>
      <c r="BO8" s="682"/>
      <c r="BP8" s="682"/>
      <c r="BQ8" s="682"/>
      <c r="BR8" s="682"/>
      <c r="BS8" s="682"/>
      <c r="BT8" s="682"/>
      <c r="BU8" s="682"/>
      <c r="BV8" s="682"/>
      <c r="BW8" s="682"/>
      <c r="BX8" s="682"/>
      <c r="BY8" s="682"/>
      <c r="BZ8" s="682"/>
      <c r="CA8" s="682"/>
      <c r="CB8" s="682"/>
      <c r="CC8" s="682"/>
      <c r="CD8" s="682"/>
      <c r="CE8" s="682"/>
      <c r="CF8" s="682"/>
      <c r="CG8" s="682"/>
      <c r="CH8" s="682"/>
      <c r="CI8" s="682"/>
      <c r="CJ8" s="682"/>
      <c r="CK8" s="682"/>
      <c r="CL8" s="682"/>
      <c r="CM8" s="682"/>
      <c r="CN8" s="682"/>
      <c r="CO8" s="682"/>
      <c r="CP8" s="682"/>
      <c r="CQ8" s="682"/>
      <c r="CR8" s="682"/>
      <c r="CS8" s="682"/>
      <c r="CT8" s="682"/>
      <c r="CU8" s="682"/>
      <c r="CV8" s="682"/>
      <c r="CW8" s="682"/>
      <c r="CX8" s="682"/>
      <c r="CY8" s="682"/>
      <c r="CZ8" s="682"/>
      <c r="DA8" s="682"/>
      <c r="DB8" s="682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682"/>
      <c r="EA8" s="682"/>
    </row>
    <row r="9" spans="1:131" ht="14.25">
      <c r="A9" s="678" t="s">
        <v>475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678"/>
      <c r="AK9" s="678"/>
      <c r="AL9" s="678"/>
      <c r="AM9" s="678"/>
      <c r="AN9" s="678"/>
      <c r="AO9" s="678"/>
      <c r="AP9" s="678"/>
      <c r="AQ9" s="678"/>
      <c r="AR9" s="678"/>
      <c r="AS9" s="678"/>
      <c r="AT9" s="678"/>
      <c r="AU9" s="678"/>
      <c r="AV9" s="678"/>
      <c r="AW9" s="678"/>
      <c r="AX9" s="678"/>
      <c r="AY9" s="678"/>
      <c r="AZ9" s="678"/>
      <c r="BA9" s="678"/>
      <c r="BB9" s="678"/>
      <c r="BC9" s="678"/>
      <c r="BD9" s="678"/>
      <c r="BE9" s="678"/>
      <c r="BF9" s="678"/>
      <c r="BG9" s="678"/>
      <c r="BH9" s="678"/>
      <c r="BI9" s="678"/>
      <c r="BJ9" s="678"/>
      <c r="BK9" s="678"/>
      <c r="BL9" s="678"/>
      <c r="BM9" s="678"/>
      <c r="BN9" s="678"/>
      <c r="BO9" s="678"/>
      <c r="BP9" s="678"/>
      <c r="BQ9" s="678"/>
      <c r="BR9" s="678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678"/>
      <c r="CF9" s="678"/>
      <c r="CG9" s="678"/>
      <c r="CH9" s="678"/>
      <c r="CI9" s="678"/>
      <c r="CJ9" s="678"/>
      <c r="CK9" s="678"/>
      <c r="CL9" s="678"/>
      <c r="CM9" s="678"/>
      <c r="CN9" s="678"/>
      <c r="CO9" s="678"/>
      <c r="CP9" s="678"/>
      <c r="CQ9" s="678"/>
      <c r="CR9" s="678"/>
      <c r="CS9" s="678"/>
      <c r="CT9" s="678"/>
      <c r="CU9" s="678"/>
      <c r="CV9" s="678"/>
      <c r="CW9" s="678"/>
      <c r="CX9" s="678"/>
      <c r="CY9" s="678"/>
      <c r="CZ9" s="678"/>
      <c r="DA9" s="678"/>
      <c r="DB9" s="678"/>
      <c r="DC9" s="678"/>
      <c r="DD9" s="678"/>
      <c r="DE9" s="678"/>
      <c r="DF9" s="678"/>
      <c r="DG9" s="678"/>
      <c r="DH9" s="678"/>
      <c r="DI9" s="678"/>
      <c r="DJ9" s="678"/>
      <c r="DK9" s="678"/>
      <c r="DL9" s="678"/>
      <c r="DM9" s="678"/>
      <c r="DN9" s="678"/>
      <c r="DO9" s="678"/>
      <c r="DP9" s="678"/>
      <c r="DQ9" s="678"/>
      <c r="DR9" s="678"/>
      <c r="DS9" s="678"/>
      <c r="DT9" s="678"/>
      <c r="DU9" s="678"/>
      <c r="DV9" s="678"/>
      <c r="DW9" s="678"/>
      <c r="DX9" s="678"/>
      <c r="DY9" s="678"/>
      <c r="DZ9" s="678"/>
      <c r="EA9" s="678"/>
    </row>
    <row r="10" spans="1:132" ht="14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4"/>
    </row>
    <row r="11" spans="1:132" ht="12.75">
      <c r="A11" s="664" t="s">
        <v>476</v>
      </c>
      <c r="B11" s="667"/>
      <c r="C11" s="667"/>
      <c r="D11" s="667"/>
      <c r="E11" s="667"/>
      <c r="F11" s="668"/>
      <c r="G11" s="664" t="s">
        <v>477</v>
      </c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8"/>
      <c r="Y11" s="664" t="s">
        <v>288</v>
      </c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8"/>
      <c r="AO11" s="671" t="s">
        <v>289</v>
      </c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2"/>
      <c r="BS11" s="672"/>
      <c r="BT11" s="672"/>
      <c r="BU11" s="672"/>
      <c r="BV11" s="672"/>
      <c r="BW11" s="672"/>
      <c r="BX11" s="672"/>
      <c r="BY11" s="672"/>
      <c r="BZ11" s="672"/>
      <c r="CA11" s="672"/>
      <c r="CB11" s="672"/>
      <c r="CC11" s="672"/>
      <c r="CD11" s="672"/>
      <c r="CE11" s="672"/>
      <c r="CF11" s="672"/>
      <c r="CG11" s="672"/>
      <c r="CH11" s="672"/>
      <c r="CI11" s="672"/>
      <c r="CJ11" s="672"/>
      <c r="CK11" s="672"/>
      <c r="CL11" s="672"/>
      <c r="CM11" s="672"/>
      <c r="CN11" s="672"/>
      <c r="CO11" s="672"/>
      <c r="CP11" s="672"/>
      <c r="CQ11" s="672"/>
      <c r="CR11" s="672"/>
      <c r="CS11" s="672"/>
      <c r="CT11" s="672"/>
      <c r="CU11" s="672"/>
      <c r="CV11" s="672"/>
      <c r="CW11" s="672"/>
      <c r="CX11" s="672"/>
      <c r="CY11" s="672"/>
      <c r="CZ11" s="672"/>
      <c r="DA11" s="672"/>
      <c r="DB11" s="672"/>
      <c r="DC11" s="672"/>
      <c r="DD11" s="672"/>
      <c r="DE11" s="672"/>
      <c r="DF11" s="672"/>
      <c r="DG11" s="672"/>
      <c r="DH11" s="673"/>
      <c r="DI11" s="664" t="s">
        <v>478</v>
      </c>
      <c r="DJ11" s="667"/>
      <c r="DK11" s="667"/>
      <c r="DL11" s="667"/>
      <c r="DM11" s="667"/>
      <c r="DN11" s="667"/>
      <c r="DO11" s="667"/>
      <c r="DP11" s="667"/>
      <c r="DQ11" s="667"/>
      <c r="DR11" s="667"/>
      <c r="DS11" s="667"/>
      <c r="DT11" s="667"/>
      <c r="DU11" s="667"/>
      <c r="DV11" s="667"/>
      <c r="DW11" s="667"/>
      <c r="DX11" s="668"/>
      <c r="DY11" s="664" t="s">
        <v>291</v>
      </c>
      <c r="DZ11" s="667"/>
      <c r="EA11" s="664" t="s">
        <v>479</v>
      </c>
      <c r="EB11" s="280"/>
    </row>
    <row r="12" spans="1:132" ht="12.75">
      <c r="A12" s="665"/>
      <c r="B12" s="675"/>
      <c r="C12" s="675"/>
      <c r="D12" s="675"/>
      <c r="E12" s="675"/>
      <c r="F12" s="676"/>
      <c r="G12" s="66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6"/>
      <c r="Y12" s="66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6"/>
      <c r="AO12" s="664" t="s">
        <v>480</v>
      </c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67"/>
      <c r="BD12" s="667"/>
      <c r="BE12" s="668"/>
      <c r="BF12" s="671" t="s">
        <v>29</v>
      </c>
      <c r="BG12" s="672"/>
      <c r="BH12" s="672"/>
      <c r="BI12" s="672"/>
      <c r="BJ12" s="672"/>
      <c r="BK12" s="672"/>
      <c r="BL12" s="672"/>
      <c r="BM12" s="672"/>
      <c r="BN12" s="672"/>
      <c r="BO12" s="672"/>
      <c r="BP12" s="672"/>
      <c r="BQ12" s="672"/>
      <c r="BR12" s="672"/>
      <c r="BS12" s="672"/>
      <c r="BT12" s="672"/>
      <c r="BU12" s="672"/>
      <c r="BV12" s="672"/>
      <c r="BW12" s="672"/>
      <c r="BX12" s="672"/>
      <c r="BY12" s="672"/>
      <c r="BZ12" s="672"/>
      <c r="CA12" s="672"/>
      <c r="CB12" s="672"/>
      <c r="CC12" s="672"/>
      <c r="CD12" s="672"/>
      <c r="CE12" s="672"/>
      <c r="CF12" s="672"/>
      <c r="CG12" s="672"/>
      <c r="CH12" s="672"/>
      <c r="CI12" s="672"/>
      <c r="CJ12" s="672"/>
      <c r="CK12" s="672"/>
      <c r="CL12" s="672"/>
      <c r="CM12" s="672"/>
      <c r="CN12" s="672"/>
      <c r="CO12" s="672"/>
      <c r="CP12" s="672"/>
      <c r="CQ12" s="672"/>
      <c r="CR12" s="672"/>
      <c r="CS12" s="672"/>
      <c r="CT12" s="672"/>
      <c r="CU12" s="672"/>
      <c r="CV12" s="672"/>
      <c r="CW12" s="672"/>
      <c r="CX12" s="672"/>
      <c r="CY12" s="672"/>
      <c r="CZ12" s="672"/>
      <c r="DA12" s="672"/>
      <c r="DB12" s="672"/>
      <c r="DC12" s="672"/>
      <c r="DD12" s="672"/>
      <c r="DE12" s="672"/>
      <c r="DF12" s="672"/>
      <c r="DG12" s="672"/>
      <c r="DH12" s="673"/>
      <c r="DI12" s="665"/>
      <c r="DJ12" s="675"/>
      <c r="DK12" s="675"/>
      <c r="DL12" s="675"/>
      <c r="DM12" s="675"/>
      <c r="DN12" s="675"/>
      <c r="DO12" s="675"/>
      <c r="DP12" s="675"/>
      <c r="DQ12" s="675"/>
      <c r="DR12" s="675"/>
      <c r="DS12" s="675"/>
      <c r="DT12" s="675"/>
      <c r="DU12" s="675"/>
      <c r="DV12" s="675"/>
      <c r="DW12" s="675"/>
      <c r="DX12" s="676"/>
      <c r="DY12" s="665"/>
      <c r="DZ12" s="675"/>
      <c r="EA12" s="665"/>
      <c r="EB12" s="280"/>
    </row>
    <row r="13" spans="1:132" ht="117" customHeight="1">
      <c r="A13" s="666"/>
      <c r="B13" s="669"/>
      <c r="C13" s="669"/>
      <c r="D13" s="669"/>
      <c r="E13" s="669"/>
      <c r="F13" s="670"/>
      <c r="G13" s="666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70"/>
      <c r="Y13" s="666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70"/>
      <c r="AO13" s="666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70"/>
      <c r="BF13" s="674" t="s">
        <v>294</v>
      </c>
      <c r="BG13" s="674"/>
      <c r="BH13" s="674"/>
      <c r="BI13" s="674"/>
      <c r="BJ13" s="674"/>
      <c r="BK13" s="674"/>
      <c r="BL13" s="674"/>
      <c r="BM13" s="674"/>
      <c r="BN13" s="674"/>
      <c r="BO13" s="674"/>
      <c r="BP13" s="674"/>
      <c r="BQ13" s="674"/>
      <c r="BR13" s="674"/>
      <c r="BS13" s="674"/>
      <c r="BT13" s="674"/>
      <c r="BU13" s="674"/>
      <c r="BV13" s="674"/>
      <c r="BW13" s="674"/>
      <c r="BX13" s="674" t="s">
        <v>295</v>
      </c>
      <c r="BY13" s="674"/>
      <c r="BZ13" s="674"/>
      <c r="CA13" s="674"/>
      <c r="CB13" s="674"/>
      <c r="CC13" s="674"/>
      <c r="CD13" s="674"/>
      <c r="CE13" s="674"/>
      <c r="CF13" s="674"/>
      <c r="CG13" s="674"/>
      <c r="CH13" s="674"/>
      <c r="CI13" s="674"/>
      <c r="CJ13" s="674"/>
      <c r="CK13" s="674"/>
      <c r="CL13" s="674"/>
      <c r="CM13" s="674"/>
      <c r="CN13" s="674"/>
      <c r="CO13" s="674"/>
      <c r="CP13" s="674"/>
      <c r="CQ13" s="674" t="s">
        <v>296</v>
      </c>
      <c r="CR13" s="674"/>
      <c r="CS13" s="674"/>
      <c r="CT13" s="674"/>
      <c r="CU13" s="674"/>
      <c r="CV13" s="674"/>
      <c r="CW13" s="674"/>
      <c r="CX13" s="674"/>
      <c r="CY13" s="674"/>
      <c r="CZ13" s="674"/>
      <c r="DA13" s="674"/>
      <c r="DB13" s="674"/>
      <c r="DC13" s="674"/>
      <c r="DD13" s="674"/>
      <c r="DE13" s="674"/>
      <c r="DF13" s="674"/>
      <c r="DG13" s="674"/>
      <c r="DH13" s="674"/>
      <c r="DI13" s="666"/>
      <c r="DJ13" s="669"/>
      <c r="DK13" s="669"/>
      <c r="DL13" s="669"/>
      <c r="DM13" s="669"/>
      <c r="DN13" s="669"/>
      <c r="DO13" s="669"/>
      <c r="DP13" s="669"/>
      <c r="DQ13" s="669"/>
      <c r="DR13" s="669"/>
      <c r="DS13" s="669"/>
      <c r="DT13" s="669"/>
      <c r="DU13" s="669"/>
      <c r="DV13" s="669"/>
      <c r="DW13" s="669"/>
      <c r="DX13" s="670"/>
      <c r="DY13" s="666"/>
      <c r="DZ13" s="669"/>
      <c r="EA13" s="666"/>
      <c r="EB13" s="280"/>
    </row>
    <row r="14" spans="1:132" ht="12.75">
      <c r="A14" s="663">
        <v>1</v>
      </c>
      <c r="B14" s="663"/>
      <c r="C14" s="663"/>
      <c r="D14" s="663"/>
      <c r="E14" s="663"/>
      <c r="F14" s="663"/>
      <c r="G14" s="663">
        <v>2</v>
      </c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>
        <v>3</v>
      </c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>
        <v>4</v>
      </c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>
        <v>5</v>
      </c>
      <c r="BG14" s="663"/>
      <c r="BH14" s="663"/>
      <c r="BI14" s="663"/>
      <c r="BJ14" s="663"/>
      <c r="BK14" s="663"/>
      <c r="BL14" s="663"/>
      <c r="BM14" s="663"/>
      <c r="BN14" s="663"/>
      <c r="BO14" s="663"/>
      <c r="BP14" s="663"/>
      <c r="BQ14" s="663"/>
      <c r="BR14" s="663"/>
      <c r="BS14" s="663"/>
      <c r="BT14" s="663"/>
      <c r="BU14" s="663"/>
      <c r="BV14" s="663"/>
      <c r="BW14" s="663"/>
      <c r="BX14" s="663">
        <v>6</v>
      </c>
      <c r="BY14" s="663"/>
      <c r="BZ14" s="663"/>
      <c r="CA14" s="663"/>
      <c r="CB14" s="663"/>
      <c r="CC14" s="663"/>
      <c r="CD14" s="663"/>
      <c r="CE14" s="663"/>
      <c r="CF14" s="663"/>
      <c r="CG14" s="663"/>
      <c r="CH14" s="663"/>
      <c r="CI14" s="663"/>
      <c r="CJ14" s="663"/>
      <c r="CK14" s="663"/>
      <c r="CL14" s="663"/>
      <c r="CM14" s="663"/>
      <c r="CN14" s="663"/>
      <c r="CO14" s="663"/>
      <c r="CP14" s="663"/>
      <c r="CQ14" s="663">
        <v>7</v>
      </c>
      <c r="CR14" s="663"/>
      <c r="CS14" s="663"/>
      <c r="CT14" s="663"/>
      <c r="CU14" s="663"/>
      <c r="CV14" s="663"/>
      <c r="CW14" s="663"/>
      <c r="CX14" s="663"/>
      <c r="CY14" s="663"/>
      <c r="CZ14" s="663"/>
      <c r="DA14" s="663"/>
      <c r="DB14" s="663"/>
      <c r="DC14" s="663"/>
      <c r="DD14" s="663"/>
      <c r="DE14" s="663"/>
      <c r="DF14" s="663"/>
      <c r="DG14" s="663"/>
      <c r="DH14" s="663"/>
      <c r="DI14" s="663">
        <v>8</v>
      </c>
      <c r="DJ14" s="663"/>
      <c r="DK14" s="663"/>
      <c r="DL14" s="663"/>
      <c r="DM14" s="663"/>
      <c r="DN14" s="663"/>
      <c r="DO14" s="663"/>
      <c r="DP14" s="663"/>
      <c r="DQ14" s="663"/>
      <c r="DR14" s="663"/>
      <c r="DS14" s="663"/>
      <c r="DT14" s="663"/>
      <c r="DU14" s="663"/>
      <c r="DV14" s="663"/>
      <c r="DW14" s="663"/>
      <c r="DX14" s="663"/>
      <c r="DY14" s="663">
        <v>9</v>
      </c>
      <c r="DZ14" s="663"/>
      <c r="EA14" s="165">
        <v>10</v>
      </c>
      <c r="EB14" s="280"/>
    </row>
    <row r="15" spans="1:132" ht="15.75">
      <c r="A15" s="661" t="s">
        <v>481</v>
      </c>
      <c r="B15" s="661"/>
      <c r="C15" s="661"/>
      <c r="D15" s="661"/>
      <c r="E15" s="661"/>
      <c r="F15" s="661"/>
      <c r="G15" s="662" t="s">
        <v>307</v>
      </c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52">
        <v>5.5</v>
      </c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4">
        <f aca="true" t="shared" si="0" ref="AO15:AO21">BF15+BX15+CQ15</f>
        <v>571</v>
      </c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>
        <v>571</v>
      </c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>
        <f aca="true" t="shared" si="1" ref="DI15:DI21">AO15*0.8</f>
        <v>456.8</v>
      </c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60">
        <f>AO15*0.7</f>
        <v>399.7</v>
      </c>
      <c r="DZ15" s="660"/>
      <c r="EA15" s="227">
        <f>Y15*(AO15+DI15+DY15)*12</f>
        <v>94215</v>
      </c>
      <c r="EB15" s="256"/>
    </row>
    <row r="16" spans="1:132" ht="15.75">
      <c r="A16" s="661" t="s">
        <v>367</v>
      </c>
      <c r="B16" s="661"/>
      <c r="C16" s="661"/>
      <c r="D16" s="661"/>
      <c r="E16" s="661"/>
      <c r="F16" s="661"/>
      <c r="G16" s="662" t="s">
        <v>308</v>
      </c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52">
        <v>6.5</v>
      </c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4">
        <f t="shared" si="0"/>
        <v>1001.62</v>
      </c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  <c r="CN16" s="654"/>
      <c r="CO16" s="654"/>
      <c r="CP16" s="654"/>
      <c r="CQ16" s="654">
        <f>1002.75-1.13</f>
        <v>1001.62</v>
      </c>
      <c r="CR16" s="654"/>
      <c r="CS16" s="654"/>
      <c r="CT16" s="654"/>
      <c r="CU16" s="654"/>
      <c r="CV16" s="654"/>
      <c r="CW16" s="654"/>
      <c r="CX16" s="654"/>
      <c r="CY16" s="654"/>
      <c r="CZ16" s="654"/>
      <c r="DA16" s="654"/>
      <c r="DB16" s="654"/>
      <c r="DC16" s="654"/>
      <c r="DD16" s="654"/>
      <c r="DE16" s="654"/>
      <c r="DF16" s="654"/>
      <c r="DG16" s="654"/>
      <c r="DH16" s="654"/>
      <c r="DI16" s="654">
        <f t="shared" si="1"/>
        <v>801.296</v>
      </c>
      <c r="DJ16" s="654"/>
      <c r="DK16" s="654"/>
      <c r="DL16" s="654"/>
      <c r="DM16" s="654"/>
      <c r="DN16" s="654"/>
      <c r="DO16" s="654"/>
      <c r="DP16" s="654"/>
      <c r="DQ16" s="654"/>
      <c r="DR16" s="654"/>
      <c r="DS16" s="654"/>
      <c r="DT16" s="654"/>
      <c r="DU16" s="654"/>
      <c r="DV16" s="654"/>
      <c r="DW16" s="654"/>
      <c r="DX16" s="654"/>
      <c r="DY16" s="660">
        <f aca="true" t="shared" si="2" ref="DY16:DY21">AO16*0.7</f>
        <v>701.134</v>
      </c>
      <c r="DZ16" s="660"/>
      <c r="EA16" s="227">
        <f>Y16*(AO16+DI16+DY16)*12-0.9</f>
        <v>195315.00000000003</v>
      </c>
      <c r="EB16" s="256"/>
    </row>
    <row r="17" spans="1:132" ht="15.75">
      <c r="A17" s="661" t="s">
        <v>379</v>
      </c>
      <c r="B17" s="661"/>
      <c r="C17" s="661"/>
      <c r="D17" s="661"/>
      <c r="E17" s="661"/>
      <c r="F17" s="661"/>
      <c r="G17" s="662" t="s">
        <v>309</v>
      </c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662"/>
      <c r="X17" s="662"/>
      <c r="Y17" s="652">
        <v>1</v>
      </c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4">
        <f t="shared" si="0"/>
        <v>1047</v>
      </c>
      <c r="AP17" s="654"/>
      <c r="AQ17" s="654"/>
      <c r="AR17" s="654"/>
      <c r="AS17" s="654"/>
      <c r="AT17" s="654"/>
      <c r="AU17" s="654"/>
      <c r="AV17" s="654"/>
      <c r="AW17" s="654"/>
      <c r="AX17" s="654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4"/>
      <c r="BK17" s="654"/>
      <c r="BL17" s="654"/>
      <c r="BM17" s="654"/>
      <c r="BN17" s="654"/>
      <c r="BO17" s="654"/>
      <c r="BP17" s="654"/>
      <c r="BQ17" s="654"/>
      <c r="BR17" s="654"/>
      <c r="BS17" s="654"/>
      <c r="BT17" s="654"/>
      <c r="BU17" s="654"/>
      <c r="BV17" s="654"/>
      <c r="BW17" s="654"/>
      <c r="BX17" s="654"/>
      <c r="BY17" s="654"/>
      <c r="BZ17" s="654"/>
      <c r="CA17" s="654"/>
      <c r="CB17" s="654"/>
      <c r="CC17" s="654"/>
      <c r="CD17" s="654"/>
      <c r="CE17" s="654"/>
      <c r="CF17" s="654"/>
      <c r="CG17" s="654"/>
      <c r="CH17" s="654"/>
      <c r="CI17" s="654"/>
      <c r="CJ17" s="654"/>
      <c r="CK17" s="654"/>
      <c r="CL17" s="654"/>
      <c r="CM17" s="654"/>
      <c r="CN17" s="654"/>
      <c r="CO17" s="654"/>
      <c r="CP17" s="654"/>
      <c r="CQ17" s="654">
        <v>1047</v>
      </c>
      <c r="CR17" s="654"/>
      <c r="CS17" s="654"/>
      <c r="CT17" s="654"/>
      <c r="CU17" s="654"/>
      <c r="CV17" s="654"/>
      <c r="CW17" s="654"/>
      <c r="CX17" s="654"/>
      <c r="CY17" s="654"/>
      <c r="CZ17" s="654"/>
      <c r="DA17" s="654"/>
      <c r="DB17" s="654"/>
      <c r="DC17" s="654"/>
      <c r="DD17" s="654"/>
      <c r="DE17" s="654"/>
      <c r="DF17" s="654"/>
      <c r="DG17" s="654"/>
      <c r="DH17" s="654"/>
      <c r="DI17" s="654">
        <f t="shared" si="1"/>
        <v>837.6</v>
      </c>
      <c r="DJ17" s="654"/>
      <c r="DK17" s="654"/>
      <c r="DL17" s="654"/>
      <c r="DM17" s="654"/>
      <c r="DN17" s="654"/>
      <c r="DO17" s="654"/>
      <c r="DP17" s="654"/>
      <c r="DQ17" s="654"/>
      <c r="DR17" s="654"/>
      <c r="DS17" s="654"/>
      <c r="DT17" s="654"/>
      <c r="DU17" s="654"/>
      <c r="DV17" s="654"/>
      <c r="DW17" s="654"/>
      <c r="DX17" s="654"/>
      <c r="DY17" s="660">
        <f t="shared" si="2"/>
        <v>732.9</v>
      </c>
      <c r="DZ17" s="660"/>
      <c r="EA17" s="227">
        <f>(AO17+DI17+DY17)*12</f>
        <v>31410</v>
      </c>
      <c r="EB17" s="256"/>
    </row>
    <row r="18" spans="1:132" ht="15.75">
      <c r="A18" s="661" t="s">
        <v>482</v>
      </c>
      <c r="B18" s="661"/>
      <c r="C18" s="661"/>
      <c r="D18" s="661"/>
      <c r="E18" s="661"/>
      <c r="F18" s="661"/>
      <c r="G18" s="662" t="s">
        <v>310</v>
      </c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52">
        <v>1</v>
      </c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4">
        <f t="shared" si="0"/>
        <v>1047</v>
      </c>
      <c r="AP18" s="654"/>
      <c r="AQ18" s="654"/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54"/>
      <c r="BC18" s="654"/>
      <c r="BD18" s="654"/>
      <c r="BE18" s="654"/>
      <c r="BF18" s="654"/>
      <c r="BG18" s="654"/>
      <c r="BH18" s="654"/>
      <c r="BI18" s="654"/>
      <c r="BJ18" s="654"/>
      <c r="BK18" s="654"/>
      <c r="BL18" s="654"/>
      <c r="BM18" s="654"/>
      <c r="BN18" s="654"/>
      <c r="BO18" s="654"/>
      <c r="BP18" s="654"/>
      <c r="BQ18" s="654"/>
      <c r="BR18" s="654"/>
      <c r="BS18" s="654"/>
      <c r="BT18" s="654"/>
      <c r="BU18" s="654"/>
      <c r="BV18" s="654"/>
      <c r="BW18" s="654"/>
      <c r="BX18" s="654"/>
      <c r="BY18" s="654"/>
      <c r="BZ18" s="654"/>
      <c r="CA18" s="654"/>
      <c r="CB18" s="654"/>
      <c r="CC18" s="654"/>
      <c r="CD18" s="654"/>
      <c r="CE18" s="654"/>
      <c r="CF18" s="654"/>
      <c r="CG18" s="654"/>
      <c r="CH18" s="654"/>
      <c r="CI18" s="654"/>
      <c r="CJ18" s="654"/>
      <c r="CK18" s="654"/>
      <c r="CL18" s="654"/>
      <c r="CM18" s="654"/>
      <c r="CN18" s="654"/>
      <c r="CO18" s="654"/>
      <c r="CP18" s="654"/>
      <c r="CQ18" s="654">
        <v>1047</v>
      </c>
      <c r="CR18" s="654"/>
      <c r="CS18" s="654"/>
      <c r="CT18" s="654"/>
      <c r="CU18" s="654"/>
      <c r="CV18" s="654"/>
      <c r="CW18" s="654"/>
      <c r="CX18" s="654"/>
      <c r="CY18" s="654"/>
      <c r="CZ18" s="654"/>
      <c r="DA18" s="654"/>
      <c r="DB18" s="654"/>
      <c r="DC18" s="654"/>
      <c r="DD18" s="654"/>
      <c r="DE18" s="654"/>
      <c r="DF18" s="654"/>
      <c r="DG18" s="654"/>
      <c r="DH18" s="654"/>
      <c r="DI18" s="654">
        <f t="shared" si="1"/>
        <v>837.6</v>
      </c>
      <c r="DJ18" s="654"/>
      <c r="DK18" s="654"/>
      <c r="DL18" s="654"/>
      <c r="DM18" s="654"/>
      <c r="DN18" s="654"/>
      <c r="DO18" s="654"/>
      <c r="DP18" s="654"/>
      <c r="DQ18" s="654"/>
      <c r="DR18" s="654"/>
      <c r="DS18" s="654"/>
      <c r="DT18" s="654"/>
      <c r="DU18" s="654"/>
      <c r="DV18" s="654"/>
      <c r="DW18" s="654"/>
      <c r="DX18" s="654"/>
      <c r="DY18" s="660">
        <f t="shared" si="2"/>
        <v>732.9</v>
      </c>
      <c r="DZ18" s="660"/>
      <c r="EA18" s="227">
        <f>(AO18+DI18+DY18)*12</f>
        <v>31410</v>
      </c>
      <c r="EB18" s="256"/>
    </row>
    <row r="19" spans="1:133" ht="15.75">
      <c r="A19" s="661" t="s">
        <v>483</v>
      </c>
      <c r="B19" s="661"/>
      <c r="C19" s="661"/>
      <c r="D19" s="661"/>
      <c r="E19" s="661"/>
      <c r="F19" s="661"/>
      <c r="G19" s="662" t="s">
        <v>311</v>
      </c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52">
        <v>1</v>
      </c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4">
        <f t="shared" si="0"/>
        <v>1047</v>
      </c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654"/>
      <c r="BC19" s="654"/>
      <c r="BD19" s="654"/>
      <c r="BE19" s="654"/>
      <c r="BF19" s="654"/>
      <c r="BG19" s="654"/>
      <c r="BH19" s="654"/>
      <c r="BI19" s="654"/>
      <c r="BJ19" s="654"/>
      <c r="BK19" s="654"/>
      <c r="BL19" s="654"/>
      <c r="BM19" s="654"/>
      <c r="BN19" s="654"/>
      <c r="BO19" s="654"/>
      <c r="BP19" s="654"/>
      <c r="BQ19" s="654"/>
      <c r="BR19" s="654"/>
      <c r="BS19" s="654"/>
      <c r="BT19" s="654"/>
      <c r="BU19" s="654"/>
      <c r="BV19" s="654"/>
      <c r="BW19" s="654"/>
      <c r="BX19" s="654"/>
      <c r="BY19" s="654"/>
      <c r="BZ19" s="654"/>
      <c r="CA19" s="654"/>
      <c r="CB19" s="654"/>
      <c r="CC19" s="654"/>
      <c r="CD19" s="654"/>
      <c r="CE19" s="654"/>
      <c r="CF19" s="654"/>
      <c r="CG19" s="654"/>
      <c r="CH19" s="654"/>
      <c r="CI19" s="654"/>
      <c r="CJ19" s="654"/>
      <c r="CK19" s="654"/>
      <c r="CL19" s="654"/>
      <c r="CM19" s="654"/>
      <c r="CN19" s="654"/>
      <c r="CO19" s="654"/>
      <c r="CP19" s="654"/>
      <c r="CQ19" s="654">
        <v>1047</v>
      </c>
      <c r="CR19" s="654"/>
      <c r="CS19" s="654"/>
      <c r="CT19" s="654"/>
      <c r="CU19" s="654"/>
      <c r="CV19" s="654"/>
      <c r="CW19" s="654"/>
      <c r="CX19" s="654"/>
      <c r="CY19" s="654"/>
      <c r="CZ19" s="654"/>
      <c r="DA19" s="654"/>
      <c r="DB19" s="654"/>
      <c r="DC19" s="654"/>
      <c r="DD19" s="654"/>
      <c r="DE19" s="654"/>
      <c r="DF19" s="654"/>
      <c r="DG19" s="654"/>
      <c r="DH19" s="654"/>
      <c r="DI19" s="654">
        <f t="shared" si="1"/>
        <v>837.6</v>
      </c>
      <c r="DJ19" s="654"/>
      <c r="DK19" s="654"/>
      <c r="DL19" s="654"/>
      <c r="DM19" s="654"/>
      <c r="DN19" s="654"/>
      <c r="DO19" s="654"/>
      <c r="DP19" s="654"/>
      <c r="DQ19" s="654"/>
      <c r="DR19" s="654"/>
      <c r="DS19" s="654"/>
      <c r="DT19" s="654"/>
      <c r="DU19" s="654"/>
      <c r="DV19" s="654"/>
      <c r="DW19" s="654"/>
      <c r="DX19" s="654"/>
      <c r="DY19" s="660">
        <f t="shared" si="2"/>
        <v>732.9</v>
      </c>
      <c r="DZ19" s="660"/>
      <c r="EA19" s="227">
        <f>(AO19+DI19+DY19)*12</f>
        <v>31410</v>
      </c>
      <c r="EB19" s="229">
        <f>EB21-EB20</f>
        <v>0</v>
      </c>
      <c r="EC19" s="224"/>
    </row>
    <row r="20" spans="1:133" ht="28.5" customHeight="1">
      <c r="A20" s="661" t="s">
        <v>484</v>
      </c>
      <c r="B20" s="661"/>
      <c r="C20" s="661"/>
      <c r="D20" s="661"/>
      <c r="E20" s="661"/>
      <c r="F20" s="661"/>
      <c r="G20" s="662" t="s">
        <v>312</v>
      </c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2"/>
      <c r="X20" s="662"/>
      <c r="Y20" s="652">
        <v>1</v>
      </c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4">
        <f>BF20+BX20+CQ20</f>
        <v>1047</v>
      </c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54"/>
      <c r="BD20" s="654"/>
      <c r="BE20" s="654"/>
      <c r="BF20" s="654"/>
      <c r="BG20" s="654"/>
      <c r="BH20" s="654"/>
      <c r="BI20" s="654"/>
      <c r="BJ20" s="654"/>
      <c r="BK20" s="654"/>
      <c r="BL20" s="654"/>
      <c r="BM20" s="654"/>
      <c r="BN20" s="654"/>
      <c r="BO20" s="654"/>
      <c r="BP20" s="654"/>
      <c r="BQ20" s="654"/>
      <c r="BR20" s="654"/>
      <c r="BS20" s="654"/>
      <c r="BT20" s="654"/>
      <c r="BU20" s="654"/>
      <c r="BV20" s="654"/>
      <c r="BW20" s="654"/>
      <c r="BX20" s="654"/>
      <c r="BY20" s="654"/>
      <c r="BZ20" s="654"/>
      <c r="CA20" s="654"/>
      <c r="CB20" s="654"/>
      <c r="CC20" s="654"/>
      <c r="CD20" s="654"/>
      <c r="CE20" s="654"/>
      <c r="CF20" s="654"/>
      <c r="CG20" s="654"/>
      <c r="CH20" s="654"/>
      <c r="CI20" s="654"/>
      <c r="CJ20" s="654"/>
      <c r="CK20" s="654"/>
      <c r="CL20" s="654"/>
      <c r="CM20" s="654"/>
      <c r="CN20" s="654"/>
      <c r="CO20" s="654"/>
      <c r="CP20" s="654"/>
      <c r="CQ20" s="654">
        <v>1047</v>
      </c>
      <c r="CR20" s="654"/>
      <c r="CS20" s="654"/>
      <c r="CT20" s="654"/>
      <c r="CU20" s="654"/>
      <c r="CV20" s="654"/>
      <c r="CW20" s="654"/>
      <c r="CX20" s="654"/>
      <c r="CY20" s="654"/>
      <c r="CZ20" s="654"/>
      <c r="DA20" s="654"/>
      <c r="DB20" s="654"/>
      <c r="DC20" s="654"/>
      <c r="DD20" s="654"/>
      <c r="DE20" s="654"/>
      <c r="DF20" s="654"/>
      <c r="DG20" s="654"/>
      <c r="DH20" s="654"/>
      <c r="DI20" s="654">
        <f t="shared" si="1"/>
        <v>837.6</v>
      </c>
      <c r="DJ20" s="654"/>
      <c r="DK20" s="654"/>
      <c r="DL20" s="654"/>
      <c r="DM20" s="654"/>
      <c r="DN20" s="654"/>
      <c r="DO20" s="654"/>
      <c r="DP20" s="654"/>
      <c r="DQ20" s="654"/>
      <c r="DR20" s="654"/>
      <c r="DS20" s="654"/>
      <c r="DT20" s="654"/>
      <c r="DU20" s="654"/>
      <c r="DV20" s="654"/>
      <c r="DW20" s="654"/>
      <c r="DX20" s="654"/>
      <c r="DY20" s="660">
        <f t="shared" si="2"/>
        <v>732.9</v>
      </c>
      <c r="DZ20" s="660"/>
      <c r="EA20" s="227">
        <f>(AO20+DI20+DY20)*12</f>
        <v>31410</v>
      </c>
      <c r="EB20" s="229">
        <f>EA15+EA16+EA17+EA18+EA19+EA20+EA21</f>
        <v>446580</v>
      </c>
      <c r="EC20" s="230">
        <f>EB21-EC21</f>
        <v>0</v>
      </c>
    </row>
    <row r="21" spans="1:133" ht="15.75">
      <c r="A21" s="661" t="s">
        <v>485</v>
      </c>
      <c r="B21" s="661"/>
      <c r="C21" s="661"/>
      <c r="D21" s="661"/>
      <c r="E21" s="661"/>
      <c r="F21" s="661"/>
      <c r="G21" s="662" t="s">
        <v>271</v>
      </c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52">
        <v>1</v>
      </c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4">
        <f t="shared" si="0"/>
        <v>1047</v>
      </c>
      <c r="AP21" s="654"/>
      <c r="AQ21" s="654"/>
      <c r="AR21" s="654"/>
      <c r="AS21" s="654"/>
      <c r="AT21" s="654"/>
      <c r="AU21" s="654"/>
      <c r="AV21" s="654"/>
      <c r="AW21" s="654"/>
      <c r="AX21" s="654"/>
      <c r="AY21" s="654"/>
      <c r="AZ21" s="654"/>
      <c r="BA21" s="654"/>
      <c r="BB21" s="654"/>
      <c r="BC21" s="654"/>
      <c r="BD21" s="654"/>
      <c r="BE21" s="654"/>
      <c r="BF21" s="654"/>
      <c r="BG21" s="654"/>
      <c r="BH21" s="654"/>
      <c r="BI21" s="654"/>
      <c r="BJ21" s="654"/>
      <c r="BK21" s="654"/>
      <c r="BL21" s="654"/>
      <c r="BM21" s="654"/>
      <c r="BN21" s="654"/>
      <c r="BO21" s="654"/>
      <c r="BP21" s="654"/>
      <c r="BQ21" s="654"/>
      <c r="BR21" s="654"/>
      <c r="BS21" s="654"/>
      <c r="BT21" s="654"/>
      <c r="BU21" s="654"/>
      <c r="BV21" s="654"/>
      <c r="BW21" s="654"/>
      <c r="BX21" s="654"/>
      <c r="BY21" s="654"/>
      <c r="BZ21" s="654"/>
      <c r="CA21" s="654"/>
      <c r="CB21" s="654"/>
      <c r="CC21" s="654"/>
      <c r="CD21" s="654"/>
      <c r="CE21" s="654"/>
      <c r="CF21" s="654"/>
      <c r="CG21" s="654"/>
      <c r="CH21" s="654"/>
      <c r="CI21" s="654"/>
      <c r="CJ21" s="654"/>
      <c r="CK21" s="654"/>
      <c r="CL21" s="654"/>
      <c r="CM21" s="654"/>
      <c r="CN21" s="654"/>
      <c r="CO21" s="654"/>
      <c r="CP21" s="654"/>
      <c r="CQ21" s="654">
        <f>1047</f>
        <v>1047</v>
      </c>
      <c r="CR21" s="654"/>
      <c r="CS21" s="654"/>
      <c r="CT21" s="654"/>
      <c r="CU21" s="654"/>
      <c r="CV21" s="654"/>
      <c r="CW21" s="654"/>
      <c r="CX21" s="654"/>
      <c r="CY21" s="654"/>
      <c r="CZ21" s="654"/>
      <c r="DA21" s="654"/>
      <c r="DB21" s="654"/>
      <c r="DC21" s="654"/>
      <c r="DD21" s="654"/>
      <c r="DE21" s="654"/>
      <c r="DF21" s="654"/>
      <c r="DG21" s="654"/>
      <c r="DH21" s="654"/>
      <c r="DI21" s="654">
        <f t="shared" si="1"/>
        <v>837.6</v>
      </c>
      <c r="DJ21" s="654"/>
      <c r="DK21" s="654"/>
      <c r="DL21" s="654"/>
      <c r="DM21" s="654"/>
      <c r="DN21" s="654"/>
      <c r="DO21" s="654"/>
      <c r="DP21" s="654"/>
      <c r="DQ21" s="654"/>
      <c r="DR21" s="654"/>
      <c r="DS21" s="654"/>
      <c r="DT21" s="654"/>
      <c r="DU21" s="654"/>
      <c r="DV21" s="654"/>
      <c r="DW21" s="654"/>
      <c r="DX21" s="654"/>
      <c r="DY21" s="660">
        <f t="shared" si="2"/>
        <v>732.9</v>
      </c>
      <c r="DZ21" s="660"/>
      <c r="EA21" s="227">
        <f>(AO21+DI21+DY21)*12</f>
        <v>31410</v>
      </c>
      <c r="EB21" s="229">
        <f>358580+88000</f>
        <v>446580</v>
      </c>
      <c r="EC21" s="230">
        <f>EA15+EA16+EA17+EA18+EA19+EA20+EA21</f>
        <v>446580</v>
      </c>
    </row>
    <row r="22" spans="1:133" ht="63.75" customHeight="1" hidden="1">
      <c r="A22" s="166" t="s">
        <v>486</v>
      </c>
      <c r="B22" s="170"/>
      <c r="C22" s="170"/>
      <c r="D22" s="170"/>
      <c r="E22" s="170"/>
      <c r="F22" s="170"/>
      <c r="G22" s="650" t="s">
        <v>487</v>
      </c>
      <c r="H22" s="651"/>
      <c r="I22" s="651"/>
      <c r="J22" s="651"/>
      <c r="K22" s="65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652"/>
      <c r="Z22" s="653"/>
      <c r="AA22" s="170"/>
      <c r="AB22" s="170"/>
      <c r="AC22" s="170"/>
      <c r="AD22" s="170"/>
      <c r="AE22" s="170"/>
      <c r="AF22" s="170"/>
      <c r="AG22" s="170"/>
      <c r="AH22" s="170"/>
      <c r="AI22" s="170"/>
      <c r="AJ22" s="167"/>
      <c r="AK22" s="167"/>
      <c r="AL22" s="167"/>
      <c r="AM22" s="167"/>
      <c r="AN22" s="167"/>
      <c r="AO22" s="654"/>
      <c r="AP22" s="653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8"/>
      <c r="BB22" s="168"/>
      <c r="BC22" s="168"/>
      <c r="BD22" s="168"/>
      <c r="BE22" s="168"/>
      <c r="BF22" s="652"/>
      <c r="BG22" s="653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68"/>
      <c r="BU22" s="168"/>
      <c r="BV22" s="168"/>
      <c r="BW22" s="168"/>
      <c r="BX22" s="168"/>
      <c r="BY22" s="170"/>
      <c r="BZ22" s="170"/>
      <c r="CA22" s="170"/>
      <c r="CB22" s="170"/>
      <c r="CC22" s="170"/>
      <c r="CD22" s="170"/>
      <c r="CE22" s="170"/>
      <c r="CF22" s="170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652"/>
      <c r="CR22" s="653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68"/>
      <c r="DE22" s="168"/>
      <c r="DF22" s="168"/>
      <c r="DG22" s="168"/>
      <c r="DH22" s="168"/>
      <c r="DI22" s="652"/>
      <c r="DJ22" s="653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658"/>
      <c r="DZ22" s="659"/>
      <c r="EA22" s="168"/>
      <c r="EB22" s="229"/>
      <c r="EC22" s="230">
        <f>EA22-EB22</f>
        <v>0</v>
      </c>
    </row>
    <row r="23" spans="1:133" ht="50.25" customHeight="1">
      <c r="A23" s="166" t="s">
        <v>486</v>
      </c>
      <c r="B23" s="170"/>
      <c r="C23" s="170"/>
      <c r="D23" s="170"/>
      <c r="E23" s="170"/>
      <c r="F23" s="170"/>
      <c r="G23" s="650" t="s">
        <v>489</v>
      </c>
      <c r="H23" s="651"/>
      <c r="I23" s="651"/>
      <c r="J23" s="651"/>
      <c r="K23" s="65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652">
        <v>9</v>
      </c>
      <c r="Z23" s="653"/>
      <c r="AA23" s="170"/>
      <c r="AB23" s="170"/>
      <c r="AC23" s="170"/>
      <c r="AD23" s="170"/>
      <c r="AE23" s="170"/>
      <c r="AF23" s="170"/>
      <c r="AG23" s="170"/>
      <c r="AH23" s="170"/>
      <c r="AI23" s="170"/>
      <c r="AJ23" s="167"/>
      <c r="AK23" s="167"/>
      <c r="AL23" s="167"/>
      <c r="AM23" s="167"/>
      <c r="AN23" s="167"/>
      <c r="AO23" s="654">
        <f>BF23+BX23+DI23+DY23+CQ23</f>
        <v>44705.9052</v>
      </c>
      <c r="AP23" s="653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8"/>
      <c r="BB23" s="168"/>
      <c r="BC23" s="168"/>
      <c r="BD23" s="168"/>
      <c r="BE23" s="168"/>
      <c r="BF23" s="652">
        <v>12800</v>
      </c>
      <c r="BG23" s="653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68"/>
      <c r="BU23" s="168"/>
      <c r="BV23" s="168"/>
      <c r="BW23" s="168"/>
      <c r="BX23" s="168"/>
      <c r="BY23" s="170"/>
      <c r="BZ23" s="170"/>
      <c r="CA23" s="170"/>
      <c r="CB23" s="170"/>
      <c r="CC23" s="170"/>
      <c r="CD23" s="170"/>
      <c r="CE23" s="170"/>
      <c r="CF23" s="170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652">
        <v>2346.57</v>
      </c>
      <c r="CR23" s="653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68"/>
      <c r="DE23" s="168"/>
      <c r="DF23" s="168"/>
      <c r="DG23" s="168"/>
      <c r="DH23" s="168"/>
      <c r="DI23" s="652">
        <f>(BF23+CQ23)*0.8</f>
        <v>12117.256000000001</v>
      </c>
      <c r="DJ23" s="653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658">
        <f>(BF23+DI23)*0.7</f>
        <v>17442.0792</v>
      </c>
      <c r="DZ23" s="659"/>
      <c r="EA23" s="227">
        <f>Y23*AO23+0.85</f>
        <v>402353.99679999996</v>
      </c>
      <c r="EB23" s="229">
        <v>402354</v>
      </c>
      <c r="EC23" s="230">
        <f>EA23-EB23</f>
        <v>-0.0032000000355765224</v>
      </c>
    </row>
    <row r="24" spans="1:133" ht="15.75">
      <c r="A24" s="655" t="s">
        <v>488</v>
      </c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7"/>
      <c r="Y24" s="652" t="s">
        <v>34</v>
      </c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4"/>
      <c r="AP24" s="654"/>
      <c r="AQ24" s="654"/>
      <c r="AR24" s="654"/>
      <c r="AS24" s="654"/>
      <c r="AT24" s="654"/>
      <c r="AU24" s="654"/>
      <c r="AV24" s="654"/>
      <c r="AW24" s="654"/>
      <c r="AX24" s="654"/>
      <c r="AY24" s="654"/>
      <c r="AZ24" s="654"/>
      <c r="BA24" s="654"/>
      <c r="BB24" s="654"/>
      <c r="BC24" s="654"/>
      <c r="BD24" s="654"/>
      <c r="BE24" s="654"/>
      <c r="BF24" s="654" t="s">
        <v>34</v>
      </c>
      <c r="BG24" s="654"/>
      <c r="BH24" s="654"/>
      <c r="BI24" s="654"/>
      <c r="BJ24" s="654"/>
      <c r="BK24" s="654"/>
      <c r="BL24" s="654"/>
      <c r="BM24" s="654"/>
      <c r="BN24" s="654"/>
      <c r="BO24" s="654"/>
      <c r="BP24" s="654"/>
      <c r="BQ24" s="654"/>
      <c r="BR24" s="654"/>
      <c r="BS24" s="654"/>
      <c r="BT24" s="654"/>
      <c r="BU24" s="654"/>
      <c r="BV24" s="654"/>
      <c r="BW24" s="654"/>
      <c r="BX24" s="654" t="s">
        <v>34</v>
      </c>
      <c r="BY24" s="654"/>
      <c r="BZ24" s="654"/>
      <c r="CA24" s="654"/>
      <c r="CB24" s="654"/>
      <c r="CC24" s="654"/>
      <c r="CD24" s="654"/>
      <c r="CE24" s="654"/>
      <c r="CF24" s="654"/>
      <c r="CG24" s="654"/>
      <c r="CH24" s="654"/>
      <c r="CI24" s="654"/>
      <c r="CJ24" s="654"/>
      <c r="CK24" s="654"/>
      <c r="CL24" s="654"/>
      <c r="CM24" s="654"/>
      <c r="CN24" s="654"/>
      <c r="CO24" s="654"/>
      <c r="CP24" s="654"/>
      <c r="CQ24" s="654" t="s">
        <v>34</v>
      </c>
      <c r="CR24" s="654"/>
      <c r="CS24" s="654"/>
      <c r="CT24" s="654"/>
      <c r="CU24" s="654"/>
      <c r="CV24" s="654"/>
      <c r="CW24" s="654"/>
      <c r="CX24" s="654"/>
      <c r="CY24" s="654"/>
      <c r="CZ24" s="654"/>
      <c r="DA24" s="654"/>
      <c r="DB24" s="654"/>
      <c r="DC24" s="654"/>
      <c r="DD24" s="654"/>
      <c r="DE24" s="654"/>
      <c r="DF24" s="654"/>
      <c r="DG24" s="654"/>
      <c r="DH24" s="654"/>
      <c r="DI24" s="654" t="s">
        <v>34</v>
      </c>
      <c r="DJ24" s="654"/>
      <c r="DK24" s="654"/>
      <c r="DL24" s="654"/>
      <c r="DM24" s="654"/>
      <c r="DN24" s="654"/>
      <c r="DO24" s="654"/>
      <c r="DP24" s="654"/>
      <c r="DQ24" s="654"/>
      <c r="DR24" s="654"/>
      <c r="DS24" s="654"/>
      <c r="DT24" s="654"/>
      <c r="DU24" s="654"/>
      <c r="DV24" s="654"/>
      <c r="DW24" s="654"/>
      <c r="DX24" s="654"/>
      <c r="DY24" s="654" t="s">
        <v>34</v>
      </c>
      <c r="DZ24" s="654"/>
      <c r="EA24" s="228">
        <f>SUM(EA15:EA23)</f>
        <v>848933.9968</v>
      </c>
      <c r="EB24" s="229">
        <f>EB23-EA23</f>
        <v>0.0032000000355765224</v>
      </c>
      <c r="EC24" s="224"/>
    </row>
    <row r="25" spans="132:133" ht="12.75">
      <c r="EB25" s="224"/>
      <c r="EC25" s="224"/>
    </row>
    <row r="26" spans="131:132" ht="12.75">
      <c r="EA26" s="247">
        <f>EA24+'ПВ ИЦ'!H8+'НЧ ИЦ'!F16+'244 ИЦ'!H55</f>
        <v>2538084.1348</v>
      </c>
      <c r="EB26" s="224"/>
    </row>
    <row r="27" spans="131:132" ht="12.75">
      <c r="EA27" s="169"/>
      <c r="EB27" s="224"/>
    </row>
    <row r="28" spans="131:132" ht="12.75">
      <c r="EA28" s="172"/>
      <c r="EB28" s="224"/>
    </row>
    <row r="29" spans="131:132" ht="12.75">
      <c r="EA29" s="169"/>
      <c r="EB29" s="224"/>
    </row>
    <row r="30" ht="12.75">
      <c r="EB30" s="224"/>
    </row>
  </sheetData>
  <sheetProtection/>
  <mergeCells count="112">
    <mergeCell ref="A11:F13"/>
    <mergeCell ref="G11:X13"/>
    <mergeCell ref="A1:EA1"/>
    <mergeCell ref="A3:EA3"/>
    <mergeCell ref="X5:EA5"/>
    <mergeCell ref="A7:AO7"/>
    <mergeCell ref="AP7:EA8"/>
    <mergeCell ref="A9:EA9"/>
    <mergeCell ref="Y11:AN13"/>
    <mergeCell ref="AO11:DH11"/>
    <mergeCell ref="G14:X14"/>
    <mergeCell ref="Y14:AN14"/>
    <mergeCell ref="AO14:BE14"/>
    <mergeCell ref="BF14:BW14"/>
    <mergeCell ref="BX14:CP14"/>
    <mergeCell ref="CQ13:DH13"/>
    <mergeCell ref="EA11:EA13"/>
    <mergeCell ref="AO12:BE13"/>
    <mergeCell ref="BF12:DH12"/>
    <mergeCell ref="BF13:BW13"/>
    <mergeCell ref="BX13:CP13"/>
    <mergeCell ref="CQ14:DH14"/>
    <mergeCell ref="DI14:DX14"/>
    <mergeCell ref="DY14:DZ14"/>
    <mergeCell ref="DY11:DZ13"/>
    <mergeCell ref="DI11:DX13"/>
    <mergeCell ref="A15:F15"/>
    <mergeCell ref="G15:X15"/>
    <mergeCell ref="Y15:AN15"/>
    <mergeCell ref="AO15:BE15"/>
    <mergeCell ref="BF15:BW15"/>
    <mergeCell ref="BX15:CP15"/>
    <mergeCell ref="A14:F14"/>
    <mergeCell ref="CQ15:DH15"/>
    <mergeCell ref="DI15:DX15"/>
    <mergeCell ref="DY15:DZ15"/>
    <mergeCell ref="A16:F16"/>
    <mergeCell ref="G16:X16"/>
    <mergeCell ref="Y16:AN16"/>
    <mergeCell ref="AO16:BE16"/>
    <mergeCell ref="BF16:BW16"/>
    <mergeCell ref="BX16:CP16"/>
    <mergeCell ref="CQ16:DH16"/>
    <mergeCell ref="DI16:DX16"/>
    <mergeCell ref="DY16:DZ16"/>
    <mergeCell ref="A17:F17"/>
    <mergeCell ref="G17:X17"/>
    <mergeCell ref="Y17:AN17"/>
    <mergeCell ref="AO17:BE17"/>
    <mergeCell ref="BF17:BW17"/>
    <mergeCell ref="BX17:CP17"/>
    <mergeCell ref="CQ17:DH17"/>
    <mergeCell ref="DI17:DX17"/>
    <mergeCell ref="DY17:DZ17"/>
    <mergeCell ref="A18:F18"/>
    <mergeCell ref="G18:X18"/>
    <mergeCell ref="Y18:AN18"/>
    <mergeCell ref="AO18:BE18"/>
    <mergeCell ref="BF18:BW18"/>
    <mergeCell ref="BX18:CP18"/>
    <mergeCell ref="CQ18:DH18"/>
    <mergeCell ref="DI18:DX18"/>
    <mergeCell ref="DY18:DZ18"/>
    <mergeCell ref="A19:F19"/>
    <mergeCell ref="G19:X19"/>
    <mergeCell ref="Y19:AN19"/>
    <mergeCell ref="AO19:BE19"/>
    <mergeCell ref="BF19:BW19"/>
    <mergeCell ref="BX19:CP19"/>
    <mergeCell ref="CQ19:DH19"/>
    <mergeCell ref="DI19:DX19"/>
    <mergeCell ref="DY19:DZ19"/>
    <mergeCell ref="A20:F20"/>
    <mergeCell ref="G20:X20"/>
    <mergeCell ref="Y20:AN20"/>
    <mergeCell ref="AO20:BE20"/>
    <mergeCell ref="BF20:BW20"/>
    <mergeCell ref="BX20:CP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DZ21"/>
    <mergeCell ref="CQ20:DH20"/>
    <mergeCell ref="DI20:DX20"/>
    <mergeCell ref="DY20:DZ20"/>
    <mergeCell ref="DI24:DX24"/>
    <mergeCell ref="DY24:DZ24"/>
    <mergeCell ref="G22:K22"/>
    <mergeCell ref="Y22:Z22"/>
    <mergeCell ref="AO22:AP22"/>
    <mergeCell ref="BF22:BG22"/>
    <mergeCell ref="CQ22:CR22"/>
    <mergeCell ref="DI22:DJ22"/>
    <mergeCell ref="DY23:DZ23"/>
    <mergeCell ref="DY22:DZ22"/>
    <mergeCell ref="A24:X24"/>
    <mergeCell ref="Y24:AN24"/>
    <mergeCell ref="AO24:BE24"/>
    <mergeCell ref="BF24:BW24"/>
    <mergeCell ref="BX24:CP24"/>
    <mergeCell ref="CQ24:DH24"/>
    <mergeCell ref="G23:K23"/>
    <mergeCell ref="Y23:Z23"/>
    <mergeCell ref="AO23:AP23"/>
    <mergeCell ref="BF23:BG23"/>
    <mergeCell ref="CQ23:CR23"/>
    <mergeCell ref="DI23:DJ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H173" sqref="H173"/>
    </sheetView>
  </sheetViews>
  <sheetFormatPr defaultColWidth="9.33203125" defaultRowHeight="12.75"/>
  <cols>
    <col min="1" max="1" width="7.5" style="35" customWidth="1"/>
    <col min="2" max="2" width="26.33203125" style="35" customWidth="1"/>
    <col min="3" max="3" width="10.5" style="35" customWidth="1"/>
    <col min="4" max="4" width="9.83203125" style="35" customWidth="1"/>
    <col min="5" max="5" width="14.16015625" style="35" customWidth="1"/>
    <col min="6" max="6" width="23" style="35" customWidth="1"/>
    <col min="7" max="7" width="16.5" style="35" customWidth="1"/>
    <col min="8" max="8" width="10.66015625" style="35" bestFit="1" customWidth="1"/>
    <col min="9" max="16384" width="9.33203125" style="35" customWidth="1"/>
  </cols>
  <sheetData>
    <row r="1" spans="1:8" ht="10.5" customHeight="1">
      <c r="A1" s="638" t="s">
        <v>317</v>
      </c>
      <c r="B1" s="638"/>
      <c r="C1" s="638"/>
      <c r="D1" s="638"/>
      <c r="E1" s="638"/>
      <c r="F1" s="638"/>
      <c r="G1" s="638"/>
      <c r="H1" s="638"/>
    </row>
    <row r="2" spans="1:8" ht="21" customHeight="1">
      <c r="A2" s="36" t="s">
        <v>283</v>
      </c>
      <c r="B2" s="36"/>
      <c r="C2" s="37">
        <v>112</v>
      </c>
      <c r="D2" s="36"/>
      <c r="E2" s="36"/>
      <c r="F2" s="36"/>
      <c r="G2" s="36"/>
      <c r="H2" s="36"/>
    </row>
    <row r="3" spans="1:10" ht="48.75" customHeight="1">
      <c r="A3" s="639" t="s">
        <v>318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15">
      <c r="A4" s="65" t="s">
        <v>319</v>
      </c>
    </row>
    <row r="5" spans="1:6" ht="39.75" customHeight="1" hidden="1">
      <c r="A5" s="690" t="s">
        <v>320</v>
      </c>
      <c r="B5" s="690"/>
      <c r="C5" s="690"/>
      <c r="D5" s="690"/>
      <c r="E5" s="690"/>
      <c r="F5" s="690"/>
    </row>
    <row r="6" spans="1:6" ht="135" hidden="1">
      <c r="A6" s="38" t="s">
        <v>286</v>
      </c>
      <c r="B6" s="38" t="s">
        <v>321</v>
      </c>
      <c r="C6" s="38" t="s">
        <v>322</v>
      </c>
      <c r="D6" s="38" t="s">
        <v>323</v>
      </c>
      <c r="E6" s="38" t="s">
        <v>324</v>
      </c>
      <c r="F6" s="38" t="s">
        <v>325</v>
      </c>
    </row>
    <row r="7" spans="1:6" ht="15" hidden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</row>
    <row r="8" spans="1:6" ht="81" customHeight="1" hidden="1">
      <c r="A8" s="43">
        <v>1</v>
      </c>
      <c r="B8" s="42" t="s">
        <v>326</v>
      </c>
      <c r="C8" s="43"/>
      <c r="D8" s="43"/>
      <c r="E8" s="43"/>
      <c r="F8" s="66">
        <f>C8*D8*E8</f>
        <v>0</v>
      </c>
    </row>
    <row r="9" spans="1:6" ht="15" hidden="1">
      <c r="A9" s="49"/>
      <c r="B9" s="50" t="s">
        <v>327</v>
      </c>
      <c r="C9" s="67">
        <f>C8</f>
        <v>0</v>
      </c>
      <c r="D9" s="43">
        <f>D8</f>
        <v>0</v>
      </c>
      <c r="E9" s="43">
        <v>10</v>
      </c>
      <c r="F9" s="66">
        <f>F8</f>
        <v>0</v>
      </c>
    </row>
    <row r="10" spans="1:6" ht="15" hidden="1">
      <c r="A10" s="68"/>
      <c r="B10" s="68"/>
      <c r="C10" s="68"/>
      <c r="D10" s="68"/>
      <c r="E10" s="68"/>
      <c r="F10" s="68"/>
    </row>
    <row r="11" spans="1:6" ht="14.25" hidden="1">
      <c r="A11" s="713" t="s">
        <v>328</v>
      </c>
      <c r="B11" s="713"/>
      <c r="C11" s="713"/>
      <c r="D11" s="713"/>
      <c r="E11" s="713"/>
      <c r="F11" s="713"/>
    </row>
    <row r="12" spans="1:6" ht="45" customHeight="1" hidden="1">
      <c r="A12" s="38" t="s">
        <v>286</v>
      </c>
      <c r="B12" s="38" t="s">
        <v>321</v>
      </c>
      <c r="C12" s="38" t="s">
        <v>329</v>
      </c>
      <c r="D12" s="38" t="s">
        <v>330</v>
      </c>
      <c r="E12" s="38" t="s">
        <v>331</v>
      </c>
      <c r="F12" s="38" t="s">
        <v>325</v>
      </c>
    </row>
    <row r="13" spans="1:6" ht="15" hidden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</row>
    <row r="14" spans="1:7" ht="90" customHeight="1" hidden="1">
      <c r="A14" s="43">
        <v>1</v>
      </c>
      <c r="B14" s="231" t="s">
        <v>332</v>
      </c>
      <c r="C14" s="43"/>
      <c r="D14" s="43"/>
      <c r="E14" s="43"/>
      <c r="F14" s="67"/>
      <c r="G14" s="98"/>
    </row>
    <row r="15" spans="1:6" ht="15" hidden="1">
      <c r="A15" s="49"/>
      <c r="B15" s="50" t="s">
        <v>327</v>
      </c>
      <c r="C15" s="43"/>
      <c r="D15" s="43"/>
      <c r="E15" s="43"/>
      <c r="F15" s="67">
        <f>F14</f>
        <v>0</v>
      </c>
    </row>
    <row r="16" spans="1:6" ht="15" hidden="1">
      <c r="A16" s="56"/>
      <c r="B16" s="69"/>
      <c r="C16" s="70"/>
      <c r="D16" s="70"/>
      <c r="E16" s="70"/>
      <c r="F16" s="71"/>
    </row>
    <row r="17" spans="1:7" ht="33" customHeight="1" hidden="1">
      <c r="A17" s="711" t="s">
        <v>333</v>
      </c>
      <c r="B17" s="711"/>
      <c r="C17" s="711"/>
      <c r="D17" s="711"/>
      <c r="E17" s="711"/>
      <c r="F17" s="711"/>
      <c r="G17" s="711"/>
    </row>
    <row r="18" spans="1:7" ht="90" hidden="1">
      <c r="A18" s="72" t="s">
        <v>286</v>
      </c>
      <c r="B18" s="700" t="s">
        <v>321</v>
      </c>
      <c r="C18" s="700"/>
      <c r="D18" s="700"/>
      <c r="E18" s="73" t="s">
        <v>334</v>
      </c>
      <c r="F18" s="73" t="s">
        <v>335</v>
      </c>
      <c r="G18" s="72" t="s">
        <v>336</v>
      </c>
    </row>
    <row r="19" spans="1:7" ht="15" hidden="1">
      <c r="A19" s="72">
        <v>1</v>
      </c>
      <c r="B19" s="700">
        <v>2</v>
      </c>
      <c r="C19" s="700"/>
      <c r="D19" s="700"/>
      <c r="E19" s="73">
        <v>3</v>
      </c>
      <c r="F19" s="73">
        <v>4</v>
      </c>
      <c r="G19" s="72">
        <v>5</v>
      </c>
    </row>
    <row r="20" spans="1:7" ht="36.75" customHeight="1" hidden="1">
      <c r="A20" s="72">
        <v>1</v>
      </c>
      <c r="B20" s="705" t="s">
        <v>337</v>
      </c>
      <c r="C20" s="706"/>
      <c r="D20" s="707"/>
      <c r="E20" s="76"/>
      <c r="F20" s="73"/>
      <c r="G20" s="77">
        <f>E20*F20</f>
        <v>0</v>
      </c>
    </row>
    <row r="21" spans="1:7" ht="15" hidden="1">
      <c r="A21" s="72"/>
      <c r="B21" s="708" t="s">
        <v>327</v>
      </c>
      <c r="C21" s="709"/>
      <c r="D21" s="710"/>
      <c r="E21" s="76">
        <f>E20</f>
        <v>0</v>
      </c>
      <c r="F21" s="73"/>
      <c r="G21" s="77">
        <f>G20</f>
        <v>0</v>
      </c>
    </row>
    <row r="22" spans="1:7" ht="15">
      <c r="A22" s="78"/>
      <c r="B22" s="69"/>
      <c r="C22" s="69"/>
      <c r="D22" s="69"/>
      <c r="E22" s="79"/>
      <c r="F22" s="80"/>
      <c r="G22" s="81"/>
    </row>
    <row r="23" spans="1:8" ht="14.25">
      <c r="A23" s="638" t="s">
        <v>317</v>
      </c>
      <c r="B23" s="638"/>
      <c r="C23" s="638"/>
      <c r="D23" s="638"/>
      <c r="E23" s="638"/>
      <c r="F23" s="638"/>
      <c r="G23" s="638"/>
      <c r="H23" s="638"/>
    </row>
    <row r="24" spans="1:7" ht="15">
      <c r="A24" s="36" t="s">
        <v>283</v>
      </c>
      <c r="B24" s="36"/>
      <c r="C24" s="37">
        <v>112</v>
      </c>
      <c r="D24" s="69"/>
      <c r="E24" s="79"/>
      <c r="F24" s="80"/>
      <c r="G24" s="81"/>
    </row>
    <row r="25" spans="1:7" ht="39" customHeight="1">
      <c r="A25" s="711" t="s">
        <v>338</v>
      </c>
      <c r="B25" s="711"/>
      <c r="C25" s="711"/>
      <c r="D25" s="711"/>
      <c r="E25" s="711"/>
      <c r="F25" s="711"/>
      <c r="G25" s="711"/>
    </row>
    <row r="26" spans="1:7" ht="60">
      <c r="A26" s="72" t="s">
        <v>286</v>
      </c>
      <c r="B26" s="72" t="s">
        <v>339</v>
      </c>
      <c r="C26" s="72" t="s">
        <v>340</v>
      </c>
      <c r="D26" s="73" t="s">
        <v>341</v>
      </c>
      <c r="E26" s="73" t="s">
        <v>342</v>
      </c>
      <c r="F26" s="72" t="s">
        <v>343</v>
      </c>
      <c r="G26" s="72" t="s">
        <v>344</v>
      </c>
    </row>
    <row r="27" spans="1:7" ht="15">
      <c r="A27" s="72">
        <v>1</v>
      </c>
      <c r="B27" s="72">
        <v>2</v>
      </c>
      <c r="C27" s="72">
        <v>3</v>
      </c>
      <c r="D27" s="73">
        <v>4</v>
      </c>
      <c r="E27" s="73" t="s">
        <v>345</v>
      </c>
      <c r="F27" s="72">
        <v>6</v>
      </c>
      <c r="G27" s="72">
        <v>7</v>
      </c>
    </row>
    <row r="28" spans="1:7" ht="15" hidden="1">
      <c r="A28" s="82">
        <v>1</v>
      </c>
      <c r="B28" s="83"/>
      <c r="C28" s="72"/>
      <c r="D28" s="73"/>
      <c r="E28" s="73"/>
      <c r="F28" s="72"/>
      <c r="G28" s="84">
        <f aca="true" t="shared" si="0" ref="G28:G33">E28*F28</f>
        <v>0</v>
      </c>
    </row>
    <row r="29" spans="1:7" ht="15">
      <c r="A29" s="82">
        <v>1</v>
      </c>
      <c r="B29" s="83" t="s">
        <v>346</v>
      </c>
      <c r="C29" s="72">
        <v>1</v>
      </c>
      <c r="D29" s="73">
        <v>0</v>
      </c>
      <c r="E29" s="85">
        <f>C29+D29</f>
        <v>1</v>
      </c>
      <c r="F29" s="72">
        <v>39000</v>
      </c>
      <c r="G29" s="84">
        <f t="shared" si="0"/>
        <v>39000</v>
      </c>
    </row>
    <row r="30" spans="1:7" ht="15">
      <c r="A30" s="86">
        <v>2</v>
      </c>
      <c r="B30" s="87" t="s">
        <v>347</v>
      </c>
      <c r="C30" s="72">
        <v>3</v>
      </c>
      <c r="D30" s="85">
        <v>1</v>
      </c>
      <c r="E30" s="85">
        <f>C30+D30</f>
        <v>4</v>
      </c>
      <c r="F30" s="88">
        <v>35000</v>
      </c>
      <c r="G30" s="84">
        <f t="shared" si="0"/>
        <v>140000</v>
      </c>
    </row>
    <row r="31" spans="1:8" ht="15">
      <c r="A31" s="86">
        <v>3</v>
      </c>
      <c r="B31" s="87" t="s">
        <v>348</v>
      </c>
      <c r="C31" s="72">
        <v>2</v>
      </c>
      <c r="D31" s="85">
        <v>0</v>
      </c>
      <c r="E31" s="85">
        <f>C31+D31</f>
        <v>2</v>
      </c>
      <c r="F31" s="88">
        <v>30000</v>
      </c>
      <c r="G31" s="89">
        <f t="shared" si="0"/>
        <v>60000</v>
      </c>
      <c r="H31" s="90"/>
    </row>
    <row r="32" spans="1:7" ht="15">
      <c r="A32" s="86">
        <v>4</v>
      </c>
      <c r="B32" s="281" t="s">
        <v>545</v>
      </c>
      <c r="C32" s="72">
        <v>3</v>
      </c>
      <c r="D32" s="85">
        <v>1</v>
      </c>
      <c r="E32" s="85">
        <f>C32+D32</f>
        <v>4</v>
      </c>
      <c r="F32" s="88">
        <v>34000</v>
      </c>
      <c r="G32" s="84">
        <f t="shared" si="0"/>
        <v>136000</v>
      </c>
    </row>
    <row r="33" spans="1:7" ht="15">
      <c r="A33" s="86">
        <v>5</v>
      </c>
      <c r="B33" s="281" t="s">
        <v>349</v>
      </c>
      <c r="C33" s="72">
        <v>2</v>
      </c>
      <c r="D33" s="85">
        <v>3</v>
      </c>
      <c r="E33" s="85">
        <f>C33+D33</f>
        <v>5</v>
      </c>
      <c r="F33" s="88">
        <v>35000</v>
      </c>
      <c r="G33" s="84">
        <f t="shared" si="0"/>
        <v>175000</v>
      </c>
    </row>
    <row r="34" spans="1:9" ht="15">
      <c r="A34" s="91"/>
      <c r="B34" s="50" t="s">
        <v>327</v>
      </c>
      <c r="C34" s="72">
        <f>C29+C30+C31+C32+C33</f>
        <v>11</v>
      </c>
      <c r="D34" s="72">
        <f>D29+D30+D31+D32+D33</f>
        <v>5</v>
      </c>
      <c r="E34" s="72">
        <f>SUM(E28:E33)</f>
        <v>16</v>
      </c>
      <c r="F34" s="72" t="s">
        <v>34</v>
      </c>
      <c r="G34" s="72">
        <f>SUM(G28:G33)</f>
        <v>550000</v>
      </c>
      <c r="H34" s="282">
        <v>550000</v>
      </c>
      <c r="I34" s="282">
        <f>G34-H34</f>
        <v>0</v>
      </c>
    </row>
    <row r="35" spans="1:7" ht="45" hidden="1">
      <c r="A35" s="92"/>
      <c r="B35" s="93" t="s">
        <v>358</v>
      </c>
      <c r="C35" s="92"/>
      <c r="D35" s="92"/>
      <c r="E35" s="92"/>
      <c r="F35" s="92"/>
      <c r="G35" s="92"/>
    </row>
    <row r="36" spans="1:7" ht="12.75">
      <c r="A36" s="92"/>
      <c r="B36" s="92"/>
      <c r="C36" s="92"/>
      <c r="D36" s="92"/>
      <c r="E36" s="92"/>
      <c r="F36" s="92"/>
      <c r="G36" s="92"/>
    </row>
    <row r="37" spans="1:7" ht="41.25" customHeight="1" hidden="1">
      <c r="A37" s="712" t="s">
        <v>350</v>
      </c>
      <c r="B37" s="712"/>
      <c r="C37" s="712"/>
      <c r="D37" s="712"/>
      <c r="E37" s="712"/>
      <c r="F37" s="712"/>
      <c r="G37" s="712"/>
    </row>
    <row r="38" spans="1:7" ht="90" hidden="1">
      <c r="A38" s="72" t="s">
        <v>286</v>
      </c>
      <c r="B38" s="700" t="s">
        <v>321</v>
      </c>
      <c r="C38" s="700"/>
      <c r="D38" s="700"/>
      <c r="E38" s="73" t="s">
        <v>334</v>
      </c>
      <c r="F38" s="73" t="s">
        <v>335</v>
      </c>
      <c r="G38" s="72" t="s">
        <v>336</v>
      </c>
    </row>
    <row r="39" spans="1:7" ht="15" hidden="1">
      <c r="A39" s="72">
        <v>1</v>
      </c>
      <c r="B39" s="700">
        <v>2</v>
      </c>
      <c r="C39" s="700"/>
      <c r="D39" s="700"/>
      <c r="E39" s="73">
        <v>3</v>
      </c>
      <c r="F39" s="73">
        <v>4</v>
      </c>
      <c r="G39" s="72">
        <v>5</v>
      </c>
    </row>
    <row r="40" spans="1:7" ht="42" customHeight="1" hidden="1">
      <c r="A40" s="72">
        <v>1</v>
      </c>
      <c r="B40" s="701" t="s">
        <v>351</v>
      </c>
      <c r="C40" s="702"/>
      <c r="D40" s="702"/>
      <c r="E40" s="76">
        <v>0</v>
      </c>
      <c r="F40" s="73">
        <v>0</v>
      </c>
      <c r="G40" s="77">
        <f>F40*E40</f>
        <v>0</v>
      </c>
    </row>
    <row r="41" spans="1:7" ht="15" hidden="1">
      <c r="A41" s="72"/>
      <c r="B41" s="693" t="s">
        <v>327</v>
      </c>
      <c r="C41" s="693"/>
      <c r="D41" s="693"/>
      <c r="E41" s="76">
        <f>E40</f>
        <v>0</v>
      </c>
      <c r="F41" s="73">
        <f>F40</f>
        <v>0</v>
      </c>
      <c r="G41" s="77">
        <f>G40</f>
        <v>0</v>
      </c>
    </row>
    <row r="42" spans="1:7" ht="12.75" hidden="1">
      <c r="A42" s="92"/>
      <c r="B42" s="92"/>
      <c r="C42" s="92"/>
      <c r="D42" s="92"/>
      <c r="E42" s="92"/>
      <c r="F42" s="92"/>
      <c r="G42" s="92"/>
    </row>
    <row r="43" spans="1:7" ht="12.75" hidden="1">
      <c r="A43" s="92"/>
      <c r="B43" s="92"/>
      <c r="C43" s="92"/>
      <c r="D43" s="92"/>
      <c r="E43" s="92"/>
      <c r="F43" s="92"/>
      <c r="G43" s="92"/>
    </row>
    <row r="44" spans="1:7" ht="24.75" customHeight="1" hidden="1">
      <c r="A44" s="703" t="s">
        <v>352</v>
      </c>
      <c r="B44" s="703"/>
      <c r="C44" s="703"/>
      <c r="D44" s="703"/>
      <c r="E44" s="703"/>
      <c r="F44" s="704"/>
      <c r="G44" s="704"/>
    </row>
    <row r="45" spans="1:7" ht="15" hidden="1">
      <c r="A45" s="94" t="s">
        <v>353</v>
      </c>
      <c r="B45" s="49"/>
      <c r="C45" s="49"/>
      <c r="D45" s="49"/>
      <c r="E45" s="49"/>
      <c r="F45" s="49"/>
      <c r="G45" s="49"/>
    </row>
    <row r="46" spans="1:7" ht="15" hidden="1">
      <c r="A46" s="695" t="s">
        <v>284</v>
      </c>
      <c r="B46" s="695"/>
      <c r="C46" s="695"/>
      <c r="D46" s="695"/>
      <c r="E46" s="695"/>
      <c r="F46" s="92"/>
      <c r="G46" s="92"/>
    </row>
    <row r="47" spans="1:7" ht="14.25" hidden="1">
      <c r="A47" s="696" t="s">
        <v>354</v>
      </c>
      <c r="B47" s="696"/>
      <c r="C47" s="696"/>
      <c r="D47" s="696"/>
      <c r="E47" s="696"/>
      <c r="F47" s="697"/>
      <c r="G47" s="697"/>
    </row>
    <row r="48" spans="1:7" ht="14.25" hidden="1">
      <c r="A48" s="696" t="s">
        <v>355</v>
      </c>
      <c r="B48" s="698"/>
      <c r="C48" s="698"/>
      <c r="D48" s="698"/>
      <c r="E48" s="698"/>
      <c r="F48" s="698"/>
      <c r="G48" s="698"/>
    </row>
    <row r="49" spans="1:7" ht="14.25" hidden="1">
      <c r="A49" s="696" t="s">
        <v>356</v>
      </c>
      <c r="B49" s="698"/>
      <c r="C49" s="698"/>
      <c r="D49" s="698"/>
      <c r="E49" s="698"/>
      <c r="F49" s="698"/>
      <c r="G49" s="698"/>
    </row>
    <row r="50" spans="1:7" ht="14.25" hidden="1">
      <c r="A50" s="94"/>
      <c r="B50" s="96"/>
      <c r="C50" s="96"/>
      <c r="D50" s="96"/>
      <c r="E50" s="96"/>
      <c r="F50" s="92"/>
      <c r="G50" s="92"/>
    </row>
    <row r="51" spans="1:7" ht="90" hidden="1">
      <c r="A51" s="38" t="s">
        <v>286</v>
      </c>
      <c r="B51" s="641" t="s">
        <v>321</v>
      </c>
      <c r="C51" s="699"/>
      <c r="D51" s="699"/>
      <c r="E51" s="73" t="s">
        <v>334</v>
      </c>
      <c r="F51" s="73" t="s">
        <v>335</v>
      </c>
      <c r="G51" s="72" t="s">
        <v>336</v>
      </c>
    </row>
    <row r="52" spans="1:7" ht="15" hidden="1">
      <c r="A52" s="40">
        <v>1</v>
      </c>
      <c r="B52" s="646">
        <v>2</v>
      </c>
      <c r="C52" s="698"/>
      <c r="D52" s="698"/>
      <c r="E52" s="40">
        <v>3</v>
      </c>
      <c r="F52" s="40">
        <v>4</v>
      </c>
      <c r="G52" s="40">
        <v>5</v>
      </c>
    </row>
    <row r="53" spans="1:7" ht="51" customHeight="1" hidden="1">
      <c r="A53" s="40">
        <v>1</v>
      </c>
      <c r="B53" s="701" t="s">
        <v>357</v>
      </c>
      <c r="C53" s="702"/>
      <c r="D53" s="702"/>
      <c r="E53" s="44">
        <v>0</v>
      </c>
      <c r="F53" s="97">
        <v>1</v>
      </c>
      <c r="G53" s="44">
        <f>E53*F53</f>
        <v>0</v>
      </c>
    </row>
    <row r="54" spans="1:8" ht="15" hidden="1">
      <c r="A54" s="49"/>
      <c r="B54" s="693" t="s">
        <v>327</v>
      </c>
      <c r="C54" s="694"/>
      <c r="D54" s="694"/>
      <c r="E54" s="44">
        <f>E53</f>
        <v>0</v>
      </c>
      <c r="F54" s="97">
        <f>F53</f>
        <v>1</v>
      </c>
      <c r="G54" s="44">
        <f>G53</f>
        <v>0</v>
      </c>
      <c r="H54" s="98"/>
    </row>
    <row r="55" spans="1:7" ht="12.75" hidden="1">
      <c r="A55" s="92"/>
      <c r="B55" s="92"/>
      <c r="C55" s="92"/>
      <c r="D55" s="92"/>
      <c r="E55" s="92"/>
      <c r="F55" s="92"/>
      <c r="G55" s="92"/>
    </row>
    <row r="56" spans="1:7" ht="12.75" hidden="1">
      <c r="A56" s="92"/>
      <c r="B56" s="92"/>
      <c r="C56" s="92"/>
      <c r="D56" s="92"/>
      <c r="E56" s="92"/>
      <c r="F56" s="92"/>
      <c r="G56" s="92"/>
    </row>
    <row r="57" spans="1:8" ht="12.75" hidden="1">
      <c r="A57" s="92"/>
      <c r="B57" s="99" t="s">
        <v>293</v>
      </c>
      <c r="C57" s="92"/>
      <c r="D57" s="92"/>
      <c r="E57" s="92"/>
      <c r="F57" s="92"/>
      <c r="G57" s="92">
        <f>G35+G34</f>
        <v>550000</v>
      </c>
      <c r="H57" s="47">
        <f>F9+F15+G21+G57+'ПВ ИЦ'!H9</f>
        <v>1234400</v>
      </c>
    </row>
    <row r="58" ht="12.75" hidden="1"/>
    <row r="59" spans="1:8" ht="14.25" hidden="1">
      <c r="A59" s="36" t="s">
        <v>283</v>
      </c>
      <c r="B59" s="36"/>
      <c r="C59" s="244">
        <v>321</v>
      </c>
      <c r="D59" s="36"/>
      <c r="E59" s="36"/>
      <c r="F59" s="36"/>
      <c r="G59" s="36"/>
      <c r="H59" s="36"/>
    </row>
    <row r="60" spans="1:10" ht="27.75" customHeight="1" hidden="1">
      <c r="A60" s="639" t="s">
        <v>318</v>
      </c>
      <c r="B60" s="640"/>
      <c r="C60" s="640"/>
      <c r="D60" s="640"/>
      <c r="E60" s="640"/>
      <c r="F60" s="640"/>
      <c r="G60" s="640"/>
      <c r="H60" s="640"/>
      <c r="I60" s="640"/>
      <c r="J60" s="640"/>
    </row>
    <row r="61" spans="1:6" ht="27" customHeight="1" hidden="1">
      <c r="A61" s="691" t="s">
        <v>517</v>
      </c>
      <c r="B61" s="692"/>
      <c r="C61" s="692"/>
      <c r="D61" s="692"/>
      <c r="E61" s="692"/>
      <c r="F61" s="692"/>
    </row>
    <row r="62" spans="1:6" ht="49.5" customHeight="1" hidden="1">
      <c r="A62" s="690" t="s">
        <v>520</v>
      </c>
      <c r="B62" s="690"/>
      <c r="C62" s="690"/>
      <c r="D62" s="690"/>
      <c r="E62" s="690"/>
      <c r="F62" s="690"/>
    </row>
    <row r="63" spans="1:6" ht="30" hidden="1">
      <c r="A63" s="241" t="s">
        <v>286</v>
      </c>
      <c r="B63" s="241" t="s">
        <v>321</v>
      </c>
      <c r="C63" s="685" t="s">
        <v>323</v>
      </c>
      <c r="D63" s="686"/>
      <c r="E63" s="685" t="s">
        <v>519</v>
      </c>
      <c r="F63" s="686"/>
    </row>
    <row r="64" spans="1:6" ht="15" hidden="1">
      <c r="A64" s="242">
        <v>1</v>
      </c>
      <c r="B64" s="242">
        <v>2</v>
      </c>
      <c r="C64" s="687">
        <v>4</v>
      </c>
      <c r="D64" s="688"/>
      <c r="E64" s="687">
        <v>6</v>
      </c>
      <c r="F64" s="688"/>
    </row>
    <row r="65" spans="1:6" ht="45" hidden="1">
      <c r="A65" s="43">
        <v>1</v>
      </c>
      <c r="B65" s="42" t="s">
        <v>518</v>
      </c>
      <c r="C65" s="683"/>
      <c r="D65" s="684"/>
      <c r="E65" s="689"/>
      <c r="F65" s="684"/>
    </row>
    <row r="66" spans="1:6" ht="15" hidden="1">
      <c r="A66" s="49"/>
      <c r="B66" s="243" t="s">
        <v>327</v>
      </c>
      <c r="C66" s="683">
        <f>C65</f>
        <v>0</v>
      </c>
      <c r="D66" s="684"/>
      <c r="E66" s="689">
        <f>E65</f>
        <v>0</v>
      </c>
      <c r="F66" s="684"/>
    </row>
    <row r="67" spans="1:6" ht="15" hidden="1">
      <c r="A67" s="68"/>
      <c r="B67" s="68"/>
      <c r="C67" s="68"/>
      <c r="D67" s="68"/>
      <c r="E67" s="68"/>
      <c r="F67" s="248">
        <f>E66</f>
        <v>0</v>
      </c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>
      <c r="H173" s="203">
        <f>G34+'ПВ ИЦ'!H9</f>
        <v>1234400</v>
      </c>
    </row>
  </sheetData>
  <sheetProtection/>
  <mergeCells count="36">
    <mergeCell ref="A1:H1"/>
    <mergeCell ref="A3:J3"/>
    <mergeCell ref="A5:F5"/>
    <mergeCell ref="A11:F11"/>
    <mergeCell ref="A17:G17"/>
    <mergeCell ref="B18:D18"/>
    <mergeCell ref="B19:D19"/>
    <mergeCell ref="B20:D20"/>
    <mergeCell ref="B21:D21"/>
    <mergeCell ref="A23:H23"/>
    <mergeCell ref="A25:G25"/>
    <mergeCell ref="A37:G37"/>
    <mergeCell ref="B38:D38"/>
    <mergeCell ref="B39:D39"/>
    <mergeCell ref="B40:D40"/>
    <mergeCell ref="B41:D41"/>
    <mergeCell ref="A44:G44"/>
    <mergeCell ref="B53:D53"/>
    <mergeCell ref="C65:D65"/>
    <mergeCell ref="B54:D54"/>
    <mergeCell ref="A46:E46"/>
    <mergeCell ref="A47:G47"/>
    <mergeCell ref="A48:G48"/>
    <mergeCell ref="A49:G49"/>
    <mergeCell ref="B51:D51"/>
    <mergeCell ref="B52:D52"/>
    <mergeCell ref="C66:D66"/>
    <mergeCell ref="E63:F63"/>
    <mergeCell ref="E64:F64"/>
    <mergeCell ref="E65:F65"/>
    <mergeCell ref="E66:F66"/>
    <mergeCell ref="A60:J60"/>
    <mergeCell ref="A62:F62"/>
    <mergeCell ref="A61:F61"/>
    <mergeCell ref="C63:D63"/>
    <mergeCell ref="C64:D64"/>
  </mergeCells>
  <printOptions/>
  <pageMargins left="1.5748031496062993" right="0" top="0" bottom="0" header="0.31496062992125984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8" sqref="I8:K8"/>
    </sheetView>
  </sheetViews>
  <sheetFormatPr defaultColWidth="9.33203125" defaultRowHeight="12.75"/>
  <cols>
    <col min="1" max="1" width="6.5" style="0" customWidth="1"/>
    <col min="2" max="2" width="26.33203125" style="0" customWidth="1"/>
    <col min="3" max="3" width="10.5" style="0" customWidth="1"/>
    <col min="4" max="4" width="9.83203125" style="0" customWidth="1"/>
    <col min="5" max="5" width="14.16015625" style="0" customWidth="1"/>
    <col min="6" max="6" width="16.66015625" style="0" customWidth="1"/>
    <col min="7" max="7" width="13.33203125" style="0" customWidth="1"/>
    <col min="8" max="8" width="15.83203125" style="0" customWidth="1"/>
    <col min="9" max="9" width="9.66015625" style="0" bestFit="1" customWidth="1"/>
  </cols>
  <sheetData>
    <row r="1" spans="1:8" ht="50.25" customHeight="1">
      <c r="A1" s="740" t="s">
        <v>317</v>
      </c>
      <c r="B1" s="740"/>
      <c r="C1" s="740"/>
      <c r="D1" s="740"/>
      <c r="E1" s="740"/>
      <c r="F1" s="740"/>
      <c r="G1" s="740"/>
      <c r="H1" s="740"/>
    </row>
    <row r="2" spans="1:8" ht="21" customHeight="1">
      <c r="A2" s="173" t="s">
        <v>283</v>
      </c>
      <c r="B2" s="173"/>
      <c r="C2" s="174">
        <v>112</v>
      </c>
      <c r="D2" s="173"/>
      <c r="E2" s="173"/>
      <c r="F2" s="173"/>
      <c r="G2" s="173"/>
      <c r="H2" s="173"/>
    </row>
    <row r="3" spans="1:8" ht="48.75" customHeight="1">
      <c r="A3" s="741" t="s">
        <v>490</v>
      </c>
      <c r="B3" s="740"/>
      <c r="C3" s="740"/>
      <c r="D3" s="740"/>
      <c r="E3" s="740"/>
      <c r="F3" s="740"/>
      <c r="G3" s="740"/>
      <c r="H3" s="740"/>
    </row>
    <row r="4" spans="1:8" ht="28.5" customHeight="1">
      <c r="A4" s="742" t="s">
        <v>491</v>
      </c>
      <c r="B4" s="743"/>
      <c r="C4" s="743"/>
      <c r="D4" s="743"/>
      <c r="E4" s="743"/>
      <c r="F4" s="743"/>
      <c r="G4" s="743"/>
      <c r="H4" s="743"/>
    </row>
    <row r="5" spans="1:8" ht="14.25">
      <c r="A5" s="160"/>
      <c r="B5" s="160"/>
      <c r="C5" s="160"/>
      <c r="D5" s="160"/>
      <c r="E5" s="160"/>
      <c r="F5" s="160"/>
      <c r="G5" s="160"/>
      <c r="H5" s="160"/>
    </row>
    <row r="6" spans="1:9" ht="51.75" customHeight="1">
      <c r="A6" s="164" t="s">
        <v>476</v>
      </c>
      <c r="B6" s="744" t="s">
        <v>321</v>
      </c>
      <c r="C6" s="396"/>
      <c r="D6" s="396"/>
      <c r="E6" s="164" t="s">
        <v>492</v>
      </c>
      <c r="F6" s="164" t="s">
        <v>424</v>
      </c>
      <c r="G6" s="164" t="s">
        <v>493</v>
      </c>
      <c r="H6" s="164" t="s">
        <v>494</v>
      </c>
      <c r="I6" s="4"/>
    </row>
    <row r="7" spans="1:9" ht="12.75">
      <c r="A7" s="165">
        <v>1</v>
      </c>
      <c r="B7" s="663">
        <v>2</v>
      </c>
      <c r="C7" s="745"/>
      <c r="D7" s="745"/>
      <c r="E7" s="165">
        <v>3</v>
      </c>
      <c r="F7" s="165">
        <v>4</v>
      </c>
      <c r="G7" s="165">
        <v>5</v>
      </c>
      <c r="H7" s="175">
        <v>6</v>
      </c>
      <c r="I7" s="4"/>
    </row>
    <row r="8" spans="1:11" ht="55.5" customHeight="1">
      <c r="A8" s="166" t="s">
        <v>481</v>
      </c>
      <c r="B8" s="746" t="s">
        <v>495</v>
      </c>
      <c r="C8" s="747"/>
      <c r="D8" s="748"/>
      <c r="E8" s="168">
        <v>11</v>
      </c>
      <c r="F8" s="168">
        <v>12</v>
      </c>
      <c r="G8" s="176">
        <f>5308.33-123.48</f>
        <v>5184.85</v>
      </c>
      <c r="H8" s="176">
        <f>E8*F8*G8-0.2</f>
        <v>684400.0000000001</v>
      </c>
      <c r="I8" s="230">
        <v>684400</v>
      </c>
      <c r="J8" s="230">
        <f>H9-I8</f>
        <v>0</v>
      </c>
      <c r="K8" s="224"/>
    </row>
    <row r="9" spans="1:9" ht="15.75">
      <c r="A9" s="166"/>
      <c r="B9" s="655" t="s">
        <v>381</v>
      </c>
      <c r="C9" s="736"/>
      <c r="D9" s="737"/>
      <c r="E9" s="168">
        <f>E8</f>
        <v>11</v>
      </c>
      <c r="F9" s="168">
        <f>F8</f>
        <v>12</v>
      </c>
      <c r="G9" s="168">
        <f>G8</f>
        <v>5184.85</v>
      </c>
      <c r="H9" s="177">
        <f>H8</f>
        <v>684400.0000000001</v>
      </c>
      <c r="I9" s="4"/>
    </row>
    <row r="11" spans="1:10" ht="42" customHeight="1" hidden="1">
      <c r="A11" s="36" t="s">
        <v>283</v>
      </c>
      <c r="B11" s="36"/>
      <c r="C11" s="253">
        <v>321</v>
      </c>
      <c r="D11" s="36" t="s">
        <v>541</v>
      </c>
      <c r="E11" s="36"/>
      <c r="F11" s="36"/>
      <c r="G11" s="36"/>
      <c r="H11" s="36"/>
      <c r="I11" s="35"/>
      <c r="J11" s="35"/>
    </row>
    <row r="12" spans="1:10" ht="15" hidden="1">
      <c r="A12" s="639" t="s">
        <v>318</v>
      </c>
      <c r="B12" s="640"/>
      <c r="C12" s="640"/>
      <c r="D12" s="640"/>
      <c r="E12" s="640"/>
      <c r="F12" s="640"/>
      <c r="G12" s="640"/>
      <c r="H12" s="640"/>
      <c r="I12" s="640"/>
      <c r="J12" s="640"/>
    </row>
    <row r="13" spans="1:10" ht="15" customHeight="1" hidden="1">
      <c r="A13" s="738" t="s">
        <v>523</v>
      </c>
      <c r="B13" s="739"/>
      <c r="C13" s="739"/>
      <c r="D13" s="739"/>
      <c r="E13" s="739"/>
      <c r="F13" s="739"/>
      <c r="G13" s="35"/>
      <c r="H13" s="35"/>
      <c r="I13" s="35"/>
      <c r="J13" s="35"/>
    </row>
    <row r="14" spans="1:10" ht="42" customHeight="1" hidden="1">
      <c r="A14" s="690" t="s">
        <v>542</v>
      </c>
      <c r="B14" s="690"/>
      <c r="C14" s="690"/>
      <c r="D14" s="690"/>
      <c r="E14" s="690"/>
      <c r="F14" s="690"/>
      <c r="G14" s="35"/>
      <c r="H14" s="35"/>
      <c r="I14" s="35"/>
      <c r="J14" s="35"/>
    </row>
    <row r="15" spans="1:10" ht="45.75" customHeight="1" hidden="1">
      <c r="A15" s="251" t="s">
        <v>286</v>
      </c>
      <c r="B15" s="251" t="s">
        <v>321</v>
      </c>
      <c r="C15" s="685" t="s">
        <v>323</v>
      </c>
      <c r="D15" s="686"/>
      <c r="E15" s="685" t="s">
        <v>519</v>
      </c>
      <c r="F15" s="686"/>
      <c r="G15" s="35"/>
      <c r="H15" s="35"/>
      <c r="I15" s="35"/>
      <c r="J15" s="35"/>
    </row>
    <row r="16" spans="1:10" ht="15" hidden="1">
      <c r="A16" s="252">
        <v>1</v>
      </c>
      <c r="B16" s="252">
        <v>2</v>
      </c>
      <c r="C16" s="687">
        <v>4</v>
      </c>
      <c r="D16" s="688"/>
      <c r="E16" s="687">
        <v>6</v>
      </c>
      <c r="F16" s="688"/>
      <c r="G16" s="35"/>
      <c r="H16" s="35"/>
      <c r="I16" s="35"/>
      <c r="J16" s="35"/>
    </row>
    <row r="17" spans="1:10" ht="135" hidden="1">
      <c r="A17" s="43">
        <v>1</v>
      </c>
      <c r="B17" s="42" t="s">
        <v>524</v>
      </c>
      <c r="C17" s="683"/>
      <c r="D17" s="684"/>
      <c r="E17" s="689"/>
      <c r="F17" s="684"/>
      <c r="G17" s="35"/>
      <c r="H17" s="35"/>
      <c r="I17" s="35"/>
      <c r="J17" s="35"/>
    </row>
    <row r="18" spans="1:10" ht="15" hidden="1">
      <c r="A18" s="49"/>
      <c r="B18" s="254" t="s">
        <v>327</v>
      </c>
      <c r="C18" s="683">
        <f>C17</f>
        <v>0</v>
      </c>
      <c r="D18" s="684"/>
      <c r="E18" s="689">
        <f>E17</f>
        <v>0</v>
      </c>
      <c r="F18" s="684"/>
      <c r="G18" s="35"/>
      <c r="H18" s="35"/>
      <c r="I18" s="35"/>
      <c r="J18" s="35"/>
    </row>
    <row r="19" spans="1:10" ht="30.75" customHeight="1">
      <c r="A19" s="68"/>
      <c r="B19" s="68"/>
      <c r="C19" s="68"/>
      <c r="D19" s="68"/>
      <c r="E19" s="68"/>
      <c r="F19" s="248">
        <f>E18</f>
        <v>0</v>
      </c>
      <c r="G19" s="35"/>
      <c r="H19" s="35"/>
      <c r="I19" s="35"/>
      <c r="J19" s="35"/>
    </row>
    <row r="20" spans="1:7" ht="15" hidden="1">
      <c r="A20" s="72"/>
      <c r="B20" s="700"/>
      <c r="C20" s="700"/>
      <c r="D20" s="700"/>
      <c r="E20" s="73"/>
      <c r="F20" s="73"/>
      <c r="G20" s="72"/>
    </row>
    <row r="21" spans="1:7" ht="15" hidden="1">
      <c r="A21" s="72"/>
      <c r="B21" s="700"/>
      <c r="C21" s="700"/>
      <c r="D21" s="700"/>
      <c r="E21" s="73"/>
      <c r="F21" s="73"/>
      <c r="G21" s="72"/>
    </row>
    <row r="22" spans="1:7" ht="36.75" customHeight="1" hidden="1">
      <c r="A22" s="178"/>
      <c r="B22" s="726"/>
      <c r="C22" s="727"/>
      <c r="D22" s="728"/>
      <c r="E22" s="179"/>
      <c r="F22" s="180"/>
      <c r="G22" s="181"/>
    </row>
    <row r="23" spans="1:8" ht="15.75" hidden="1">
      <c r="A23" s="178"/>
      <c r="B23" s="729"/>
      <c r="C23" s="730"/>
      <c r="D23" s="731"/>
      <c r="E23" s="179"/>
      <c r="F23" s="180"/>
      <c r="G23" s="181"/>
      <c r="H23" s="169"/>
    </row>
    <row r="24" ht="12.75" hidden="1"/>
    <row r="25" spans="1:7" ht="28.5" customHeight="1" hidden="1">
      <c r="A25" s="732" t="s">
        <v>496</v>
      </c>
      <c r="B25" s="732"/>
      <c r="C25" s="732"/>
      <c r="D25" s="732"/>
      <c r="E25" s="732"/>
      <c r="F25" s="732"/>
      <c r="G25" s="732"/>
    </row>
    <row r="26" spans="1:7" ht="14.25" hidden="1">
      <c r="A26" s="732"/>
      <c r="B26" s="732"/>
      <c r="C26" s="732"/>
      <c r="D26" s="732"/>
      <c r="E26" s="732"/>
      <c r="F26" s="732"/>
      <c r="G26" s="732"/>
    </row>
    <row r="27" spans="1:8" ht="45" hidden="1">
      <c r="A27" s="182" t="s">
        <v>476</v>
      </c>
      <c r="B27" s="733" t="s">
        <v>321</v>
      </c>
      <c r="C27" s="734"/>
      <c r="D27" s="734"/>
      <c r="E27" s="735"/>
      <c r="F27" s="182" t="s">
        <v>497</v>
      </c>
      <c r="G27" s="182" t="s">
        <v>459</v>
      </c>
      <c r="H27" s="182" t="s">
        <v>498</v>
      </c>
    </row>
    <row r="28" spans="1:8" ht="12.75" hidden="1">
      <c r="A28" s="183">
        <v>1</v>
      </c>
      <c r="B28" s="714">
        <v>2</v>
      </c>
      <c r="C28" s="715"/>
      <c r="D28" s="715"/>
      <c r="E28" s="716"/>
      <c r="F28" s="184">
        <v>3</v>
      </c>
      <c r="G28" s="185">
        <v>4</v>
      </c>
      <c r="H28" s="183">
        <v>5</v>
      </c>
    </row>
    <row r="29" spans="1:8" ht="15" hidden="1">
      <c r="A29" s="182">
        <v>1</v>
      </c>
      <c r="B29" s="717" t="s">
        <v>499</v>
      </c>
      <c r="C29" s="718"/>
      <c r="D29" s="718"/>
      <c r="E29" s="719"/>
      <c r="F29" s="182">
        <v>21</v>
      </c>
      <c r="G29" s="182"/>
      <c r="H29" s="182">
        <f>F29*G29</f>
        <v>0</v>
      </c>
    </row>
    <row r="30" spans="1:8" ht="15" hidden="1">
      <c r="A30" s="186"/>
      <c r="B30" s="720"/>
      <c r="C30" s="721"/>
      <c r="D30" s="721"/>
      <c r="E30" s="722"/>
      <c r="F30" s="187"/>
      <c r="G30" s="186"/>
      <c r="H30" s="188"/>
    </row>
    <row r="31" spans="1:8" ht="15" hidden="1">
      <c r="A31" s="189"/>
      <c r="B31" s="723" t="s">
        <v>381</v>
      </c>
      <c r="C31" s="724"/>
      <c r="D31" s="724"/>
      <c r="E31" s="725"/>
      <c r="F31" s="186">
        <v>21</v>
      </c>
      <c r="G31" s="186" t="s">
        <v>34</v>
      </c>
      <c r="H31" s="190">
        <f>H29+H30</f>
        <v>0</v>
      </c>
    </row>
  </sheetData>
  <sheetProtection/>
  <mergeCells count="29">
    <mergeCell ref="B9:D9"/>
    <mergeCell ref="A12:J12"/>
    <mergeCell ref="A13:F13"/>
    <mergeCell ref="A1:H1"/>
    <mergeCell ref="A3:H3"/>
    <mergeCell ref="A4:H4"/>
    <mergeCell ref="B6:D6"/>
    <mergeCell ref="B7:D7"/>
    <mergeCell ref="B8:D8"/>
    <mergeCell ref="A14:F14"/>
    <mergeCell ref="C15:D15"/>
    <mergeCell ref="B20:D20"/>
    <mergeCell ref="E15:F15"/>
    <mergeCell ref="C16:D16"/>
    <mergeCell ref="E16:F16"/>
    <mergeCell ref="C17:D17"/>
    <mergeCell ref="E17:F17"/>
    <mergeCell ref="C18:D18"/>
    <mergeCell ref="E18:F18"/>
    <mergeCell ref="B28:E28"/>
    <mergeCell ref="B29:E29"/>
    <mergeCell ref="B30:E30"/>
    <mergeCell ref="B31:E31"/>
    <mergeCell ref="B21:D21"/>
    <mergeCell ref="B22:D22"/>
    <mergeCell ref="B23:D23"/>
    <mergeCell ref="A25:G25"/>
    <mergeCell ref="A26:G26"/>
    <mergeCell ref="B27:E27"/>
  </mergeCells>
  <printOptions/>
  <pageMargins left="0.7874015748031497" right="0" top="0" bottom="0" header="0.31496062992125984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6" sqref="F6"/>
    </sheetView>
  </sheetViews>
  <sheetFormatPr defaultColWidth="9.33203125" defaultRowHeight="12.75"/>
  <cols>
    <col min="1" max="1" width="9.33203125" style="35" customWidth="1"/>
    <col min="2" max="2" width="16.5" style="35" customWidth="1"/>
    <col min="3" max="3" width="10.33203125" style="35" customWidth="1"/>
    <col min="4" max="4" width="21.16015625" style="35" customWidth="1"/>
    <col min="5" max="5" width="21" style="35" customWidth="1"/>
    <col min="6" max="6" width="20.33203125" style="35" customWidth="1"/>
    <col min="7" max="7" width="18.83203125" style="35" customWidth="1"/>
    <col min="8" max="16384" width="9.33203125" style="35" customWidth="1"/>
  </cols>
  <sheetData>
    <row r="1" spans="1:6" ht="80.25" customHeight="1">
      <c r="A1" s="690" t="s">
        <v>359</v>
      </c>
      <c r="B1" s="690"/>
      <c r="C1" s="690"/>
      <c r="D1" s="690"/>
      <c r="E1" s="690"/>
      <c r="F1" s="690"/>
    </row>
    <row r="2" spans="1:8" ht="19.5" customHeight="1">
      <c r="A2" s="36" t="s">
        <v>283</v>
      </c>
      <c r="B2" s="36"/>
      <c r="C2" s="37">
        <v>119</v>
      </c>
      <c r="D2" s="36"/>
      <c r="E2" s="36"/>
      <c r="F2" s="36"/>
      <c r="G2" s="36"/>
      <c r="H2" s="36"/>
    </row>
    <row r="3" spans="1:10" ht="33.75" customHeight="1">
      <c r="A3" s="639" t="s">
        <v>318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23.25" customHeight="1">
      <c r="A4" s="65" t="s">
        <v>319</v>
      </c>
    </row>
    <row r="5" spans="1:7" ht="27.75" customHeight="1">
      <c r="A5" s="40">
        <v>1</v>
      </c>
      <c r="B5" s="753" t="s">
        <v>360</v>
      </c>
      <c r="C5" s="754"/>
      <c r="D5" s="755"/>
      <c r="E5" s="51">
        <f>18299967+42590+315593+747500+91100-3311</f>
        <v>19493439</v>
      </c>
      <c r="F5" s="51">
        <f>E5*0.22+5.98</f>
        <v>4288562.5600000005</v>
      </c>
      <c r="G5" s="64"/>
    </row>
    <row r="6" spans="1:7" ht="15">
      <c r="A6" s="100" t="s">
        <v>361</v>
      </c>
      <c r="B6" s="756" t="s">
        <v>362</v>
      </c>
      <c r="C6" s="757"/>
      <c r="D6" s="758"/>
      <c r="E6" s="51"/>
      <c r="F6" s="51"/>
      <c r="G6" s="271"/>
    </row>
    <row r="7" spans="1:7" ht="15.75" customHeight="1">
      <c r="A7" s="100" t="s">
        <v>363</v>
      </c>
      <c r="B7" s="753" t="s">
        <v>364</v>
      </c>
      <c r="C7" s="754"/>
      <c r="D7" s="755"/>
      <c r="E7" s="51"/>
      <c r="F7" s="51"/>
      <c r="G7" s="271"/>
    </row>
    <row r="8" spans="1:7" ht="31.5" customHeight="1">
      <c r="A8" s="100" t="s">
        <v>365</v>
      </c>
      <c r="B8" s="645" t="s">
        <v>366</v>
      </c>
      <c r="C8" s="645"/>
      <c r="D8" s="645"/>
      <c r="E8" s="51"/>
      <c r="F8" s="51"/>
      <c r="G8" s="48"/>
    </row>
    <row r="9" spans="1:7" ht="30.75" customHeight="1">
      <c r="A9" s="100" t="s">
        <v>367</v>
      </c>
      <c r="B9" s="753" t="s">
        <v>368</v>
      </c>
      <c r="C9" s="754"/>
      <c r="D9" s="755"/>
      <c r="E9" s="51">
        <f>18299967+42590+315593+747500+91100-3311</f>
        <v>19493439</v>
      </c>
      <c r="F9" s="51">
        <f>E9*0.024</f>
        <v>467842.536</v>
      </c>
      <c r="G9" s="271"/>
    </row>
    <row r="10" spans="1:7" ht="15">
      <c r="A10" s="100" t="s">
        <v>369</v>
      </c>
      <c r="B10" s="753" t="s">
        <v>370</v>
      </c>
      <c r="C10" s="754"/>
      <c r="D10" s="755"/>
      <c r="E10" s="51"/>
      <c r="F10" s="51"/>
      <c r="G10" s="271"/>
    </row>
    <row r="11" spans="1:7" ht="35.25" customHeight="1">
      <c r="A11" s="100" t="s">
        <v>371</v>
      </c>
      <c r="B11" s="749" t="s">
        <v>372</v>
      </c>
      <c r="C11" s="749"/>
      <c r="D11" s="749"/>
      <c r="E11" s="51"/>
      <c r="F11" s="51"/>
      <c r="G11" s="271"/>
    </row>
    <row r="12" spans="1:7" ht="27.75" customHeight="1">
      <c r="A12" s="100" t="s">
        <v>373</v>
      </c>
      <c r="B12" s="749" t="s">
        <v>374</v>
      </c>
      <c r="C12" s="749"/>
      <c r="D12" s="749"/>
      <c r="E12" s="51">
        <f>18299967+42590+315593+747500+91100-3311</f>
        <v>19493439</v>
      </c>
      <c r="F12" s="51">
        <f>E12*0.002</f>
        <v>38986.878000000004</v>
      </c>
      <c r="G12" s="271"/>
    </row>
    <row r="13" spans="1:7" ht="33" customHeight="1">
      <c r="A13" s="100" t="s">
        <v>375</v>
      </c>
      <c r="B13" s="749" t="s">
        <v>376</v>
      </c>
      <c r="C13" s="749"/>
      <c r="D13" s="749"/>
      <c r="E13" s="51"/>
      <c r="F13" s="51"/>
      <c r="G13" s="271"/>
    </row>
    <row r="14" spans="1:7" ht="30.75" customHeight="1">
      <c r="A14" s="100" t="s">
        <v>377</v>
      </c>
      <c r="B14" s="749" t="s">
        <v>378</v>
      </c>
      <c r="C14" s="749"/>
      <c r="D14" s="749"/>
      <c r="E14" s="51"/>
      <c r="F14" s="51"/>
      <c r="G14" s="271"/>
    </row>
    <row r="15" spans="1:7" ht="27.75" customHeight="1">
      <c r="A15" s="100" t="s">
        <v>379</v>
      </c>
      <c r="B15" s="749" t="s">
        <v>380</v>
      </c>
      <c r="C15" s="749"/>
      <c r="D15" s="749"/>
      <c r="E15" s="51">
        <f>18299967+42590+315593+747500+91100-3311</f>
        <v>19493439</v>
      </c>
      <c r="F15" s="51">
        <f>E15*0.056-0.3</f>
        <v>1091632.284</v>
      </c>
      <c r="G15" s="272"/>
    </row>
    <row r="16" spans="1:8" ht="27.75" customHeight="1">
      <c r="A16" s="100"/>
      <c r="B16" s="101"/>
      <c r="C16" s="102"/>
      <c r="D16" s="103" t="s">
        <v>381</v>
      </c>
      <c r="E16" s="51"/>
      <c r="F16" s="51">
        <f>F5+F6+F9+F12+F15</f>
        <v>5887024.258</v>
      </c>
      <c r="G16" s="272"/>
      <c r="H16" s="48"/>
    </row>
    <row r="17" spans="1:8" ht="27.75" customHeight="1">
      <c r="A17" s="100"/>
      <c r="B17" s="750" t="s">
        <v>546</v>
      </c>
      <c r="C17" s="751"/>
      <c r="D17" s="752"/>
      <c r="E17" s="51"/>
      <c r="F17" s="51"/>
      <c r="G17" s="275">
        <f>3735006+3543541</f>
        <v>7278547</v>
      </c>
      <c r="H17" s="48"/>
    </row>
    <row r="18" spans="1:8" ht="15">
      <c r="A18" s="100"/>
      <c r="B18" s="101"/>
      <c r="C18" s="102"/>
      <c r="D18" s="103" t="s">
        <v>314</v>
      </c>
      <c r="E18" s="51"/>
      <c r="F18" s="51">
        <f>F16+F17</f>
        <v>5887024.258</v>
      </c>
      <c r="G18" s="276">
        <f>G17-F18</f>
        <v>1391522.7419999996</v>
      </c>
      <c r="H18" s="48"/>
    </row>
    <row r="19" spans="7:8" ht="12.75">
      <c r="G19" s="275">
        <f>F18-G18</f>
        <v>4495501.516000001</v>
      </c>
      <c r="H19" s="48"/>
    </row>
    <row r="20" spans="2:8" ht="12.75">
      <c r="B20" s="41">
        <f>2865837</f>
        <v>2865837</v>
      </c>
      <c r="C20" s="41" t="s">
        <v>382</v>
      </c>
      <c r="D20" s="41"/>
      <c r="F20" s="45"/>
      <c r="G20" s="275"/>
      <c r="H20" s="48"/>
    </row>
    <row r="21" spans="2:8" ht="12.75">
      <c r="B21" s="41">
        <v>2159755</v>
      </c>
      <c r="C21" s="41" t="s">
        <v>383</v>
      </c>
      <c r="D21" s="41">
        <v>2234755</v>
      </c>
      <c r="F21" s="98"/>
      <c r="G21" s="41"/>
      <c r="H21" s="48"/>
    </row>
    <row r="22" spans="2:8" ht="12.75">
      <c r="B22" s="41">
        <f>SUM(B20:B21)</f>
        <v>5025592</v>
      </c>
      <c r="C22" s="41"/>
      <c r="D22" s="41">
        <f>2755990+280000</f>
        <v>3035990</v>
      </c>
      <c r="F22" s="98"/>
      <c r="G22" s="48"/>
      <c r="H22" s="48"/>
    </row>
    <row r="23" spans="4:8" ht="12.75">
      <c r="D23" s="41">
        <f>SUM(D21:D22)</f>
        <v>5270745</v>
      </c>
      <c r="G23" s="48"/>
      <c r="H23" s="48"/>
    </row>
    <row r="24" ht="12.75">
      <c r="G24" s="48"/>
    </row>
    <row r="27" ht="12.75">
      <c r="E27" s="270"/>
    </row>
  </sheetData>
  <sheetProtection/>
  <mergeCells count="14">
    <mergeCell ref="A1:F1"/>
    <mergeCell ref="A3:J3"/>
    <mergeCell ref="B5:D5"/>
    <mergeCell ref="B6:D6"/>
    <mergeCell ref="B7:D7"/>
    <mergeCell ref="B8:D8"/>
    <mergeCell ref="B15:D15"/>
    <mergeCell ref="B17:D17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15" sqref="G15:G21"/>
    </sheetView>
  </sheetViews>
  <sheetFormatPr defaultColWidth="9.33203125" defaultRowHeight="12.75"/>
  <cols>
    <col min="2" max="2" width="16.5" style="0" customWidth="1"/>
    <col min="3" max="3" width="10.33203125" style="0" customWidth="1"/>
    <col min="4" max="4" width="21.16015625" style="0" customWidth="1"/>
    <col min="5" max="5" width="21" style="0" customWidth="1"/>
    <col min="6" max="6" width="20.33203125" style="0" customWidth="1"/>
    <col min="7" max="7" width="18.83203125" style="0" customWidth="1"/>
  </cols>
  <sheetData>
    <row r="1" spans="1:6" ht="80.25" customHeight="1">
      <c r="A1" s="759" t="s">
        <v>512</v>
      </c>
      <c r="B1" s="759"/>
      <c r="C1" s="759"/>
      <c r="D1" s="759"/>
      <c r="E1" s="759"/>
      <c r="F1" s="759"/>
    </row>
    <row r="2" spans="1:8" ht="19.5" customHeight="1">
      <c r="A2" s="173" t="s">
        <v>283</v>
      </c>
      <c r="B2" s="173"/>
      <c r="C2" s="174">
        <v>119</v>
      </c>
      <c r="D2" s="173"/>
      <c r="E2" s="173"/>
      <c r="F2" s="173"/>
      <c r="G2" s="173"/>
      <c r="H2" s="173"/>
    </row>
    <row r="3" spans="1:10" ht="33.75" customHeight="1">
      <c r="A3" s="741" t="s">
        <v>490</v>
      </c>
      <c r="B3" s="740"/>
      <c r="C3" s="740"/>
      <c r="D3" s="740"/>
      <c r="E3" s="740"/>
      <c r="F3" s="740"/>
      <c r="G3" s="740"/>
      <c r="H3" s="740"/>
      <c r="I3" s="740"/>
      <c r="J3" s="740"/>
    </row>
    <row r="4" ht="23.25" customHeight="1" hidden="1">
      <c r="A4" s="217"/>
    </row>
    <row r="5" spans="1:6" ht="27.75" customHeight="1">
      <c r="A5" s="218">
        <v>1</v>
      </c>
      <c r="B5" s="760" t="s">
        <v>360</v>
      </c>
      <c r="C5" s="761"/>
      <c r="D5" s="762"/>
      <c r="E5" s="219"/>
      <c r="F5" s="219">
        <f>F6</f>
        <v>206498.38</v>
      </c>
    </row>
    <row r="6" spans="1:6" ht="15">
      <c r="A6" s="220" t="s">
        <v>361</v>
      </c>
      <c r="B6" s="763" t="s">
        <v>362</v>
      </c>
      <c r="C6" s="764"/>
      <c r="D6" s="765"/>
      <c r="E6" s="219">
        <f>848934+122811-33116</f>
        <v>938629</v>
      </c>
      <c r="F6" s="219">
        <f>E6*0.22</f>
        <v>206498.38</v>
      </c>
    </row>
    <row r="7" spans="1:6" ht="15.75" customHeight="1">
      <c r="A7" s="220" t="s">
        <v>363</v>
      </c>
      <c r="B7" s="760" t="s">
        <v>364</v>
      </c>
      <c r="C7" s="761"/>
      <c r="D7" s="762"/>
      <c r="E7" s="219"/>
      <c r="F7" s="219"/>
    </row>
    <row r="8" spans="1:6" ht="31.5" customHeight="1">
      <c r="A8" s="220" t="s">
        <v>365</v>
      </c>
      <c r="B8" s="766" t="s">
        <v>366</v>
      </c>
      <c r="C8" s="766"/>
      <c r="D8" s="766"/>
      <c r="E8" s="219"/>
      <c r="F8" s="219"/>
    </row>
    <row r="9" spans="1:6" ht="30.75" customHeight="1">
      <c r="A9" s="220" t="s">
        <v>367</v>
      </c>
      <c r="B9" s="760" t="s">
        <v>368</v>
      </c>
      <c r="C9" s="761"/>
      <c r="D9" s="762"/>
      <c r="E9" s="219"/>
      <c r="F9" s="219">
        <f>F11+F12</f>
        <v>29097.539</v>
      </c>
    </row>
    <row r="10" spans="1:6" ht="15">
      <c r="A10" s="220" t="s">
        <v>369</v>
      </c>
      <c r="B10" s="760" t="s">
        <v>370</v>
      </c>
      <c r="C10" s="761"/>
      <c r="D10" s="762"/>
      <c r="E10" s="219"/>
      <c r="F10" s="219"/>
    </row>
    <row r="11" spans="1:6" ht="30" customHeight="1">
      <c r="A11" s="220" t="s">
        <v>371</v>
      </c>
      <c r="B11" s="767" t="s">
        <v>513</v>
      </c>
      <c r="C11" s="767"/>
      <c r="D11" s="767"/>
      <c r="E11" s="219">
        <f>848934+122811-33116</f>
        <v>938629</v>
      </c>
      <c r="F11" s="219">
        <f>E11*0.029</f>
        <v>27220.241</v>
      </c>
    </row>
    <row r="12" spans="1:6" ht="47.25" customHeight="1">
      <c r="A12" s="220" t="s">
        <v>373</v>
      </c>
      <c r="B12" s="767" t="s">
        <v>374</v>
      </c>
      <c r="C12" s="767"/>
      <c r="D12" s="767"/>
      <c r="E12" s="219">
        <f>848934+122811-33116</f>
        <v>938629</v>
      </c>
      <c r="F12" s="219">
        <f>E12*0.002+0.04</f>
        <v>1877.298</v>
      </c>
    </row>
    <row r="13" spans="1:7" ht="33" customHeight="1">
      <c r="A13" s="220" t="s">
        <v>375</v>
      </c>
      <c r="B13" s="767" t="s">
        <v>376</v>
      </c>
      <c r="C13" s="767"/>
      <c r="D13" s="767"/>
      <c r="E13" s="219"/>
      <c r="F13" s="219"/>
      <c r="G13" s="4"/>
    </row>
    <row r="14" spans="1:7" ht="30.75" customHeight="1">
      <c r="A14" s="220" t="s">
        <v>377</v>
      </c>
      <c r="B14" s="767" t="s">
        <v>378</v>
      </c>
      <c r="C14" s="767"/>
      <c r="D14" s="767"/>
      <c r="E14" s="219"/>
      <c r="F14" s="219"/>
      <c r="G14" s="4"/>
    </row>
    <row r="15" spans="1:7" ht="27.75" customHeight="1">
      <c r="A15" s="220" t="s">
        <v>379</v>
      </c>
      <c r="B15" s="767" t="s">
        <v>380</v>
      </c>
      <c r="C15" s="767"/>
      <c r="D15" s="767"/>
      <c r="E15" s="219">
        <f>848934+122811-33116</f>
        <v>938629</v>
      </c>
      <c r="F15" s="219">
        <f>E15*0.051</f>
        <v>47870.079</v>
      </c>
      <c r="G15" s="263"/>
    </row>
    <row r="16" spans="1:7" ht="15">
      <c r="A16" s="220"/>
      <c r="B16" s="221"/>
      <c r="C16" s="222"/>
      <c r="D16" s="223" t="s">
        <v>314</v>
      </c>
      <c r="E16" s="219"/>
      <c r="F16" s="219">
        <f>F5+F9+F15</f>
        <v>283465.998</v>
      </c>
      <c r="G16" s="263">
        <f>148646+26600+108220</f>
        <v>283466</v>
      </c>
    </row>
    <row r="17" ht="12.75">
      <c r="G17" s="264">
        <f>G16-F16</f>
        <v>0.001999999978579581</v>
      </c>
    </row>
    <row r="18" spans="2:7" ht="12.75">
      <c r="B18" s="224">
        <f>18500+97000</f>
        <v>115500</v>
      </c>
      <c r="C18" s="224" t="s">
        <v>382</v>
      </c>
      <c r="F18" s="225"/>
      <c r="G18" s="224"/>
    </row>
    <row r="19" spans="2:7" ht="12.75">
      <c r="B19" s="224">
        <f>19000</f>
        <v>19000</v>
      </c>
      <c r="C19" s="224" t="s">
        <v>383</v>
      </c>
      <c r="F19" s="226"/>
      <c r="G19" s="224"/>
    </row>
    <row r="20" spans="2:7" ht="12.75">
      <c r="B20" s="224"/>
      <c r="C20" s="224"/>
      <c r="F20" s="225"/>
      <c r="G20" s="224"/>
    </row>
    <row r="21" spans="2:7" ht="12.75">
      <c r="B21" s="224">
        <v>111252</v>
      </c>
      <c r="C21" s="224" t="s">
        <v>514</v>
      </c>
      <c r="D21" s="225"/>
      <c r="G21" s="224"/>
    </row>
    <row r="22" spans="2:7" ht="12.75">
      <c r="B22" s="224"/>
      <c r="C22" s="224"/>
      <c r="G22" s="224"/>
    </row>
    <row r="23" spans="2:7" ht="12.75">
      <c r="B23" s="224">
        <f>SUM(B18:B22)</f>
        <v>245752</v>
      </c>
      <c r="C23" s="224"/>
      <c r="G23" s="224"/>
    </row>
    <row r="24" spans="2:3" ht="12.75">
      <c r="B24" s="224"/>
      <c r="C24" s="224"/>
    </row>
  </sheetData>
  <sheetProtection/>
  <mergeCells count="13">
    <mergeCell ref="B15:D15"/>
    <mergeCell ref="B9:D9"/>
    <mergeCell ref="B10:D10"/>
    <mergeCell ref="B11:D11"/>
    <mergeCell ref="B12:D12"/>
    <mergeCell ref="B13:D13"/>
    <mergeCell ref="B14:D14"/>
    <mergeCell ref="A1:F1"/>
    <mergeCell ref="A3:J3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G17" activeCellId="1" sqref="G9 G17"/>
    </sheetView>
  </sheetViews>
  <sheetFormatPr defaultColWidth="9.33203125" defaultRowHeight="12.75"/>
  <cols>
    <col min="1" max="3" width="9.33203125" style="35" customWidth="1"/>
    <col min="4" max="4" width="19.33203125" style="35" customWidth="1"/>
    <col min="5" max="5" width="13.66015625" style="35" customWidth="1"/>
    <col min="6" max="6" width="9.33203125" style="35" customWidth="1"/>
    <col min="7" max="7" width="17.83203125" style="35" customWidth="1"/>
    <col min="8" max="8" width="14.83203125" style="35" customWidth="1"/>
    <col min="9" max="9" width="10.16015625" style="35" bestFit="1" customWidth="1"/>
    <col min="10" max="16384" width="9.33203125" style="35" customWidth="1"/>
  </cols>
  <sheetData>
    <row r="1" spans="1:7" ht="29.25" customHeight="1">
      <c r="A1" s="711" t="s">
        <v>384</v>
      </c>
      <c r="B1" s="711"/>
      <c r="C1" s="711"/>
      <c r="D1" s="711"/>
      <c r="E1" s="711"/>
      <c r="F1" s="777"/>
      <c r="G1" s="777"/>
    </row>
    <row r="2" spans="1:7" ht="15" customHeight="1">
      <c r="A2" s="104"/>
      <c r="B2" s="68"/>
      <c r="C2" s="68"/>
      <c r="D2" s="68"/>
      <c r="E2" s="68"/>
      <c r="F2" s="68"/>
      <c r="G2" s="68"/>
    </row>
    <row r="3" spans="1:5" ht="63.75" customHeight="1">
      <c r="A3" s="778" t="s">
        <v>284</v>
      </c>
      <c r="B3" s="778"/>
      <c r="C3" s="778"/>
      <c r="D3" s="778"/>
      <c r="E3" s="778"/>
    </row>
    <row r="4" spans="1:7" ht="27.75" customHeight="1">
      <c r="A4" s="711" t="s">
        <v>385</v>
      </c>
      <c r="B4" s="711"/>
      <c r="C4" s="711"/>
      <c r="D4" s="711"/>
      <c r="E4" s="711"/>
      <c r="F4" s="777"/>
      <c r="G4" s="777"/>
    </row>
    <row r="5" spans="1:5" ht="15" customHeight="1">
      <c r="A5" s="104" t="s">
        <v>386</v>
      </c>
      <c r="B5" s="105"/>
      <c r="C5" s="106"/>
      <c r="D5" s="105"/>
      <c r="E5" s="105"/>
    </row>
    <row r="6" spans="1:7" ht="90">
      <c r="A6" s="38" t="s">
        <v>286</v>
      </c>
      <c r="B6" s="685" t="s">
        <v>321</v>
      </c>
      <c r="C6" s="768"/>
      <c r="D6" s="769"/>
      <c r="E6" s="38" t="s">
        <v>387</v>
      </c>
      <c r="F6" s="38" t="s">
        <v>388</v>
      </c>
      <c r="G6" s="38" t="s">
        <v>389</v>
      </c>
    </row>
    <row r="7" spans="1:7" ht="15">
      <c r="A7" s="40">
        <v>1</v>
      </c>
      <c r="B7" s="687">
        <v>2</v>
      </c>
      <c r="C7" s="770"/>
      <c r="D7" s="771"/>
      <c r="E7" s="40">
        <v>3</v>
      </c>
      <c r="F7" s="40">
        <v>4</v>
      </c>
      <c r="G7" s="40">
        <v>5</v>
      </c>
    </row>
    <row r="8" spans="1:9" ht="21" customHeight="1">
      <c r="A8" s="40">
        <v>1</v>
      </c>
      <c r="B8" s="107" t="s">
        <v>390</v>
      </c>
      <c r="C8" s="108"/>
      <c r="D8" s="109"/>
      <c r="E8" s="44">
        <f>6818182-1953455</f>
        <v>4864727</v>
      </c>
      <c r="F8" s="44">
        <v>2.2</v>
      </c>
      <c r="G8" s="44">
        <f>F8*E8/100+0.01</f>
        <v>107024.004</v>
      </c>
      <c r="H8" s="41"/>
      <c r="I8" s="41"/>
    </row>
    <row r="9" spans="1:9" ht="15">
      <c r="A9" s="49"/>
      <c r="B9" s="708" t="s">
        <v>327</v>
      </c>
      <c r="C9" s="775"/>
      <c r="D9" s="776"/>
      <c r="E9" s="44">
        <f>E8</f>
        <v>4864727</v>
      </c>
      <c r="F9" s="44" t="s">
        <v>34</v>
      </c>
      <c r="G9" s="44">
        <f>G8</f>
        <v>107024.004</v>
      </c>
      <c r="H9" s="41">
        <v>150000</v>
      </c>
      <c r="I9" s="41"/>
    </row>
    <row r="10" spans="1:9" ht="15">
      <c r="A10" s="68"/>
      <c r="B10" s="68"/>
      <c r="C10" s="68"/>
      <c r="D10" s="68"/>
      <c r="E10" s="68"/>
      <c r="H10" s="41"/>
      <c r="I10" s="41"/>
    </row>
    <row r="11" spans="8:9" ht="12.75">
      <c r="H11" s="41"/>
      <c r="I11" s="41"/>
    </row>
    <row r="12" spans="1:9" ht="14.25">
      <c r="A12" s="110" t="s">
        <v>391</v>
      </c>
      <c r="B12" s="110"/>
      <c r="C12" s="110"/>
      <c r="D12" s="110"/>
      <c r="E12" s="110"/>
      <c r="H12" s="41"/>
      <c r="I12" s="41"/>
    </row>
    <row r="13" spans="1:9" ht="14.25">
      <c r="A13" s="104" t="s">
        <v>392</v>
      </c>
      <c r="B13" s="105"/>
      <c r="C13" s="105"/>
      <c r="D13" s="105"/>
      <c r="E13" s="105" t="s">
        <v>394</v>
      </c>
      <c r="H13" s="41"/>
      <c r="I13" s="41"/>
    </row>
    <row r="14" spans="1:9" ht="90">
      <c r="A14" s="38" t="s">
        <v>286</v>
      </c>
      <c r="B14" s="685" t="s">
        <v>321</v>
      </c>
      <c r="C14" s="768"/>
      <c r="D14" s="769"/>
      <c r="E14" s="38" t="s">
        <v>387</v>
      </c>
      <c r="F14" s="38" t="s">
        <v>388</v>
      </c>
      <c r="G14" s="38" t="s">
        <v>389</v>
      </c>
      <c r="H14" s="41"/>
      <c r="I14" s="41"/>
    </row>
    <row r="15" spans="1:9" ht="15">
      <c r="A15" s="40">
        <v>1</v>
      </c>
      <c r="B15" s="687">
        <v>2</v>
      </c>
      <c r="C15" s="770"/>
      <c r="D15" s="771"/>
      <c r="E15" s="40">
        <v>3</v>
      </c>
      <c r="F15" s="40">
        <v>4</v>
      </c>
      <c r="G15" s="40">
        <v>5</v>
      </c>
      <c r="H15" s="41"/>
      <c r="I15" s="41"/>
    </row>
    <row r="16" spans="1:9" ht="31.5" customHeight="1">
      <c r="A16" s="43">
        <v>1</v>
      </c>
      <c r="B16" s="772" t="s">
        <v>393</v>
      </c>
      <c r="C16" s="773"/>
      <c r="D16" s="774"/>
      <c r="E16" s="66">
        <v>2360000</v>
      </c>
      <c r="F16" s="66">
        <v>2.5</v>
      </c>
      <c r="G16" s="66">
        <f>E16*F16/100-13.93</f>
        <v>58986.07</v>
      </c>
      <c r="H16" s="41">
        <v>59000</v>
      </c>
      <c r="I16" s="41"/>
    </row>
    <row r="17" spans="1:9" ht="15">
      <c r="A17" s="49"/>
      <c r="B17" s="708" t="s">
        <v>327</v>
      </c>
      <c r="C17" s="775"/>
      <c r="D17" s="776"/>
      <c r="E17" s="66">
        <f>E16</f>
        <v>2360000</v>
      </c>
      <c r="F17" s="66" t="s">
        <v>34</v>
      </c>
      <c r="G17" s="66">
        <f>G16</f>
        <v>58986.07</v>
      </c>
      <c r="H17" s="111">
        <f>G9+G17</f>
        <v>166010.074</v>
      </c>
      <c r="I17" s="98"/>
    </row>
    <row r="19" ht="12.75">
      <c r="G19" s="98"/>
    </row>
  </sheetData>
  <sheetProtection/>
  <mergeCells count="10">
    <mergeCell ref="B14:D14"/>
    <mergeCell ref="B15:D15"/>
    <mergeCell ref="B16:D16"/>
    <mergeCell ref="B17:D17"/>
    <mergeCell ref="A1:G1"/>
    <mergeCell ref="A3:E3"/>
    <mergeCell ref="A4:G4"/>
    <mergeCell ref="B6:D6"/>
    <mergeCell ref="B7:D7"/>
    <mergeCell ref="B9:D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Buhgalter</cp:lastModifiedBy>
  <cp:lastPrinted>2024-02-28T04:52:00Z</cp:lastPrinted>
  <dcterms:created xsi:type="dcterms:W3CDTF">2018-10-25T15:48:16Z</dcterms:created>
  <dcterms:modified xsi:type="dcterms:W3CDTF">2024-02-28T04:53:08Z</dcterms:modified>
  <cp:category/>
  <cp:version/>
  <cp:contentType/>
  <cp:contentStatus/>
</cp:coreProperties>
</file>